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60" yWindow="-15" windowWidth="25095" windowHeight="11760" tabRatio="848"/>
  </bookViews>
  <sheets>
    <sheet name="Summary" sheetId="4" r:id="rId1"/>
    <sheet name="boundary Rd" sheetId="72" r:id="rId2"/>
    <sheet name="Koukoura Dve" sheetId="73" r:id="rId3"/>
  </sheets>
  <definedNames>
    <definedName name="_Order1" hidden="1">255</definedName>
    <definedName name="_Order2" hidden="1">0</definedName>
    <definedName name="_xlnm.Print_Area" localSheetId="1">'boundary Rd'!$A$1:$G$77</definedName>
    <definedName name="_xlnm.Print_Area" localSheetId="2">'Koukoura Dve'!$A$1:$K$78</definedName>
    <definedName name="_xlnm.Print_Area" localSheetId="0">Summary!$A$1:$E$40</definedName>
    <definedName name="_xlnm.Print_Titles" localSheetId="0">Summary!$A:$B,Summary!$1:$7</definedName>
  </definedNames>
  <calcPr calcId="125725"/>
</workbook>
</file>

<file path=xl/calcChain.xml><?xml version="1.0" encoding="utf-8"?>
<calcChain xmlns="http://schemas.openxmlformats.org/spreadsheetml/2006/main">
  <c r="D21" i="4"/>
  <c r="C21"/>
  <c r="F36" i="72" l="1"/>
  <c r="F36" i="73"/>
  <c r="C42" l="1"/>
  <c r="C45" l="1"/>
  <c r="F45" s="1"/>
  <c r="C48"/>
  <c r="F48" s="1"/>
  <c r="C48" i="72"/>
  <c r="C38" i="73"/>
  <c r="F38" s="1"/>
  <c r="C38" i="72"/>
  <c r="C37" i="73"/>
  <c r="F37" s="1"/>
  <c r="C37" i="72"/>
  <c r="F37" s="1"/>
  <c r="C40" i="73"/>
  <c r="F40" s="1"/>
  <c r="C40" i="72"/>
  <c r="F54" i="73"/>
  <c r="I54" s="1"/>
  <c r="C53"/>
  <c r="F53"/>
  <c r="C53" i="72"/>
  <c r="F53" s="1"/>
  <c r="C42"/>
  <c r="C43"/>
  <c r="C44" i="73"/>
  <c r="F44" s="1"/>
  <c r="C43"/>
  <c r="F43" s="1"/>
  <c r="F52"/>
  <c r="C51"/>
  <c r="F51" s="1"/>
  <c r="G49" s="1"/>
  <c r="F50"/>
  <c r="C47"/>
  <c r="F47" s="1"/>
  <c r="C46"/>
  <c r="F46" s="1"/>
  <c r="F42"/>
  <c r="F35"/>
  <c r="F33"/>
  <c r="F32"/>
  <c r="F31"/>
  <c r="G30" s="1"/>
  <c r="C44" i="72"/>
  <c r="F52"/>
  <c r="C47"/>
  <c r="C46"/>
  <c r="C41" i="73" l="1"/>
  <c r="F41" s="1"/>
  <c r="G39" s="1"/>
  <c r="G34"/>
  <c r="I43" l="1"/>
  <c r="A3"/>
  <c r="A4"/>
  <c r="B78"/>
  <c r="B75"/>
  <c r="I52"/>
  <c r="I51"/>
  <c r="I44"/>
  <c r="I41"/>
  <c r="I40"/>
  <c r="J39" s="1"/>
  <c r="I38"/>
  <c r="I35"/>
  <c r="F29"/>
  <c r="I29" s="1"/>
  <c r="F28"/>
  <c r="I28" s="1"/>
  <c r="F27"/>
  <c r="I27" s="1"/>
  <c r="I26"/>
  <c r="F26"/>
  <c r="I25"/>
  <c r="E22"/>
  <c r="E21"/>
  <c r="E20"/>
  <c r="E19"/>
  <c r="E18"/>
  <c r="E17"/>
  <c r="E16"/>
  <c r="E15"/>
  <c r="E12"/>
  <c r="E7"/>
  <c r="G2"/>
  <c r="A2"/>
  <c r="C51" i="72"/>
  <c r="F46"/>
  <c r="C45"/>
  <c r="F45" s="1"/>
  <c r="F40"/>
  <c r="I40" s="1"/>
  <c r="F54"/>
  <c r="I54" s="1"/>
  <c r="F42"/>
  <c r="F43"/>
  <c r="E19"/>
  <c r="A4"/>
  <c r="A3"/>
  <c r="I55" i="73" l="1"/>
  <c r="C41" i="72"/>
  <c r="J34" i="73"/>
  <c r="J24"/>
  <c r="J25"/>
  <c r="F24"/>
  <c r="G25"/>
  <c r="I50"/>
  <c r="F51" i="72"/>
  <c r="I51" s="1"/>
  <c r="F47"/>
  <c r="F50"/>
  <c r="I50" s="1"/>
  <c r="F33"/>
  <c r="F32"/>
  <c r="F29"/>
  <c r="I29" s="1"/>
  <c r="F31"/>
  <c r="G30" l="1"/>
  <c r="G24" i="73"/>
  <c r="D14" i="4" s="1"/>
  <c r="G49" i="72"/>
  <c r="F22" i="73" l="1"/>
  <c r="I22" s="1"/>
  <c r="F19"/>
  <c r="F15"/>
  <c r="F7"/>
  <c r="F18"/>
  <c r="I18" s="1"/>
  <c r="F17"/>
  <c r="I17" s="1"/>
  <c r="F16"/>
  <c r="I16" s="1"/>
  <c r="F21"/>
  <c r="I21" s="1"/>
  <c r="F12"/>
  <c r="I12" s="1"/>
  <c r="F20"/>
  <c r="I20" s="1"/>
  <c r="B77" i="72"/>
  <c r="B74"/>
  <c r="B40" i="4"/>
  <c r="B37"/>
  <c r="F48" i="72"/>
  <c r="F55" i="73" l="1"/>
  <c r="I7"/>
  <c r="J6" s="1"/>
  <c r="G6"/>
  <c r="D12" i="4" s="1"/>
  <c r="I15" i="73"/>
  <c r="J14" s="1"/>
  <c r="G14"/>
  <c r="F44" i="72"/>
  <c r="I44" s="1"/>
  <c r="I41"/>
  <c r="F41"/>
  <c r="I35"/>
  <c r="F35"/>
  <c r="F28"/>
  <c r="I28" s="1"/>
  <c r="F27"/>
  <c r="I27" s="1"/>
  <c r="I26"/>
  <c r="F26"/>
  <c r="I25"/>
  <c r="E22"/>
  <c r="E21"/>
  <c r="E20"/>
  <c r="E18"/>
  <c r="E17"/>
  <c r="E16"/>
  <c r="E15"/>
  <c r="E12"/>
  <c r="E7"/>
  <c r="F38"/>
  <c r="G2"/>
  <c r="A2"/>
  <c r="G55" i="73" l="1"/>
  <c r="D13" i="4"/>
  <c r="J55" i="73"/>
  <c r="J58" s="1"/>
  <c r="J61" s="1"/>
  <c r="G25" i="72"/>
  <c r="G39"/>
  <c r="F24"/>
  <c r="G34"/>
  <c r="J25"/>
  <c r="I38"/>
  <c r="I43"/>
  <c r="J39" s="1"/>
  <c r="G58" i="73" l="1"/>
  <c r="D19" i="4" s="1"/>
  <c r="D16"/>
  <c r="G24" i="72"/>
  <c r="J34"/>
  <c r="J24"/>
  <c r="G59" i="73" l="1"/>
  <c r="C14" i="4"/>
  <c r="E14" s="1"/>
  <c r="F19" i="72"/>
  <c r="F20"/>
  <c r="I20" s="1"/>
  <c r="F17"/>
  <c r="I17" s="1"/>
  <c r="F22"/>
  <c r="I22" s="1"/>
  <c r="F12"/>
  <c r="I12" s="1"/>
  <c r="F15"/>
  <c r="F7"/>
  <c r="F16"/>
  <c r="I16" s="1"/>
  <c r="F21"/>
  <c r="I21" s="1"/>
  <c r="F18"/>
  <c r="I18" s="1"/>
  <c r="D20" i="4" l="1"/>
  <c r="G61" i="73"/>
  <c r="D23" i="4" s="1"/>
  <c r="G14" i="72"/>
  <c r="C13" i="4" s="1"/>
  <c r="E13" s="1"/>
  <c r="F55" i="72"/>
  <c r="I15"/>
  <c r="I7"/>
  <c r="J6" s="1"/>
  <c r="G6"/>
  <c r="C12" i="4" s="1"/>
  <c r="E12" s="1"/>
  <c r="J14" i="72" l="1"/>
  <c r="J55" s="1"/>
  <c r="J58" s="1"/>
  <c r="I55"/>
  <c r="G55"/>
  <c r="G58" l="1"/>
  <c r="G59" s="1"/>
  <c r="G61" s="1"/>
  <c r="C16" i="4"/>
  <c r="E16" s="1"/>
  <c r="J61" i="72"/>
  <c r="C23" i="4" l="1"/>
  <c r="E23" s="1"/>
  <c r="C20"/>
  <c r="E20" s="1"/>
  <c r="C19"/>
  <c r="E19" s="1"/>
  <c r="A6" l="1"/>
  <c r="G1" i="73" l="1"/>
  <c r="G1" i="72"/>
</calcChain>
</file>

<file path=xl/comments1.xml><?xml version="1.0" encoding="utf-8"?>
<comments xmlns="http://schemas.openxmlformats.org/spreadsheetml/2006/main">
  <authors>
    <author>Rob Henry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Rob Henry: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<sst xmlns="http://schemas.openxmlformats.org/spreadsheetml/2006/main" count="360" uniqueCount="153">
  <si>
    <t>ITEM</t>
  </si>
  <si>
    <t>UNIT</t>
  </si>
  <si>
    <t xml:space="preserve">RATE </t>
  </si>
  <si>
    <t>AMOUNT</t>
  </si>
  <si>
    <t>Site Establishment</t>
  </si>
  <si>
    <t>item</t>
  </si>
  <si>
    <t>Provision for traffic</t>
  </si>
  <si>
    <t>wks</t>
  </si>
  <si>
    <t>Construction</t>
  </si>
  <si>
    <t>MISCELLANEOUS</t>
  </si>
  <si>
    <t>m²</t>
  </si>
  <si>
    <t>m³</t>
  </si>
  <si>
    <t>Site Management &amp; supervision including QA</t>
  </si>
  <si>
    <t>A</t>
  </si>
  <si>
    <t>Project Management</t>
  </si>
  <si>
    <t>Program Administration</t>
  </si>
  <si>
    <t>B</t>
  </si>
  <si>
    <t>Cadastral and Engineering Survey</t>
  </si>
  <si>
    <t>C</t>
  </si>
  <si>
    <t>D</t>
  </si>
  <si>
    <t>E</t>
  </si>
  <si>
    <t>Project scoping, planning, scheduling, monitoring, reporting and commissioning</t>
  </si>
  <si>
    <t>Managing external interfaces, including community liaison, environmental issues, traffic issues etc</t>
  </si>
  <si>
    <t>Records management</t>
  </si>
  <si>
    <t>Landscape Design</t>
  </si>
  <si>
    <t>Traffic Investigations</t>
  </si>
  <si>
    <t>Construction including Final Design</t>
  </si>
  <si>
    <t>Management of preconstruction activities, development of tender documents and management of contracts</t>
  </si>
  <si>
    <t>Environmental Investigations</t>
  </si>
  <si>
    <t>Contingency</t>
  </si>
  <si>
    <t>PROJECT BUDGET</t>
  </si>
  <si>
    <t>EARTHWORKS</t>
  </si>
  <si>
    <t>PRELIMINARIES</t>
  </si>
  <si>
    <t>PRELIMINARY ESTIMATE OF DEVELOPMENT COSTS</t>
  </si>
  <si>
    <t>DESCRIPTION</t>
  </si>
  <si>
    <t>SUBTOTAL</t>
  </si>
  <si>
    <t>SUMMARY SHEET</t>
  </si>
  <si>
    <t>CONTINGENCY</t>
  </si>
  <si>
    <t>QUANTITY</t>
  </si>
  <si>
    <t>3.3</t>
  </si>
  <si>
    <t>Date:</t>
  </si>
  <si>
    <t>AUTHOR:</t>
  </si>
  <si>
    <t>REVIEWER:</t>
  </si>
  <si>
    <t>Excavation and Removal</t>
  </si>
  <si>
    <t>Stripping topsoil (100mm)</t>
  </si>
  <si>
    <t>Geotechnical investigations Pavement Investigations and Design</t>
  </si>
  <si>
    <t>TOTAL A - C</t>
  </si>
  <si>
    <t>PM %:</t>
  </si>
  <si>
    <t>Total Estimate</t>
  </si>
  <si>
    <t>Contingency (20% of C)</t>
  </si>
  <si>
    <t>Construction Management</t>
  </si>
  <si>
    <t>Culvert Length, m:</t>
  </si>
  <si>
    <t>PER METER</t>
  </si>
  <si>
    <t>Project and Program Management</t>
  </si>
  <si>
    <t>Design and Investigation</t>
  </si>
  <si>
    <t>RATE</t>
  </si>
  <si>
    <t>TOTAL</t>
  </si>
  <si>
    <t>Preliminary and Final  Design</t>
  </si>
  <si>
    <t>2</t>
  </si>
  <si>
    <t>2.1</t>
  </si>
  <si>
    <t>2.2</t>
  </si>
  <si>
    <t>3</t>
  </si>
  <si>
    <t>3.1</t>
  </si>
  <si>
    <t>Lm</t>
  </si>
  <si>
    <t>3.2</t>
  </si>
  <si>
    <t>4</t>
  </si>
  <si>
    <t>Notes:</t>
  </si>
  <si>
    <t>Services</t>
  </si>
  <si>
    <t>1</t>
  </si>
  <si>
    <t>Service relocation / alterations have not been allowed for in the estimate</t>
  </si>
  <si>
    <t>Demolition</t>
  </si>
  <si>
    <t>FS</t>
  </si>
  <si>
    <t>IL</t>
  </si>
  <si>
    <t>Dia.</t>
  </si>
  <si>
    <t>Width</t>
  </si>
  <si>
    <t>Depth</t>
  </si>
  <si>
    <t>Excavation</t>
  </si>
  <si>
    <t>Trench</t>
  </si>
  <si>
    <t>CALCS</t>
  </si>
  <si>
    <t>Batter Slope</t>
  </si>
  <si>
    <t>Cover</t>
  </si>
  <si>
    <t>DRAINAGE, PIPES AND CULVERTS</t>
  </si>
  <si>
    <t>3.4</t>
  </si>
  <si>
    <t>Rock beaching at ends of culvert</t>
  </si>
  <si>
    <t>6</t>
  </si>
  <si>
    <t>Construction to take place aside existing road prior to road extension</t>
  </si>
  <si>
    <t>Installation of culverts to be done prior or during road fill works</t>
  </si>
  <si>
    <t>DEMOLITION</t>
  </si>
  <si>
    <t>Trees</t>
  </si>
  <si>
    <t>Item</t>
  </si>
  <si>
    <t>1.4</t>
  </si>
  <si>
    <t>Diversion Works</t>
  </si>
  <si>
    <t>Pump and lines</t>
  </si>
  <si>
    <t>Fence removal</t>
  </si>
  <si>
    <t>2.3</t>
  </si>
  <si>
    <t>Excavation and removal of existing culvert</t>
  </si>
  <si>
    <t>Temp 150 PVC pipe</t>
  </si>
  <si>
    <t>Bund walls</t>
  </si>
  <si>
    <t>4.1</t>
  </si>
  <si>
    <t>weeks</t>
  </si>
  <si>
    <t>Regrading of creek not included</t>
  </si>
  <si>
    <t>4.2</t>
  </si>
  <si>
    <t>`</t>
  </si>
  <si>
    <t>Total Cost (Complete Culvert Construction)</t>
  </si>
  <si>
    <t>We have only allowed to demolish the items shown above</t>
  </si>
  <si>
    <t>Safety works under power lines(spotter)</t>
  </si>
  <si>
    <t>CG140690</t>
  </si>
  <si>
    <t>CL-1003</t>
  </si>
  <si>
    <t>CL-1002</t>
  </si>
  <si>
    <t>Boundary Rd</t>
  </si>
  <si>
    <t>Koukoura Drive</t>
  </si>
  <si>
    <t>WOLLERT PSP</t>
  </si>
  <si>
    <t>CULVERT / BRIDGE CROSSINGS</t>
  </si>
  <si>
    <t>Structural design and certification</t>
  </si>
  <si>
    <t>Construction of  endwall</t>
  </si>
  <si>
    <t>4.3</t>
  </si>
  <si>
    <t>Diversion Works including: setup of bypass lines and pump system, installation of temporary 300dia PVC pipes and installation of bund walls at extent culvert works</t>
  </si>
  <si>
    <t>150mm thick Class 2 CR under slab</t>
  </si>
  <si>
    <t>Agg to culverts</t>
  </si>
  <si>
    <t>Construction of  endwall Slab</t>
  </si>
  <si>
    <t xml:space="preserve">Provision for traffic Mgt and diversion of traffic </t>
  </si>
  <si>
    <t>Culvert Base Slab 380 thick + 300 wide edge down turn</t>
  </si>
  <si>
    <t>Guard Rail Transitions &amp; anchor point</t>
  </si>
  <si>
    <t>Backfill and compact Stabilised sand to top of culvert</t>
  </si>
  <si>
    <t>4.4</t>
  </si>
  <si>
    <t>Ped fence to wingwalls</t>
  </si>
  <si>
    <t>4.5</t>
  </si>
  <si>
    <t>2.1x1.2 Box culverts supply and lay</t>
  </si>
  <si>
    <t>2.1 Box culvertscover slabs supply and lay</t>
  </si>
  <si>
    <t xml:space="preserve">Fill to road boxing </t>
  </si>
  <si>
    <t>Stripping topsoil (100mm) approx 280m along road</t>
  </si>
  <si>
    <t xml:space="preserve">We have only allowed to demolish the items shown </t>
  </si>
  <si>
    <t xml:space="preserve"> Cut fill quantities will vary with design,  to allow lifting of the road over the culvert</t>
  </si>
  <si>
    <t>Installation of crash barrier above culverts endwalls</t>
  </si>
  <si>
    <t>Installation of crash fence</t>
  </si>
  <si>
    <t>Rob Henry</t>
  </si>
  <si>
    <t>4.6</t>
  </si>
  <si>
    <t>4.7</t>
  </si>
  <si>
    <t>4.8</t>
  </si>
  <si>
    <t>4.9</t>
  </si>
  <si>
    <t>5</t>
  </si>
  <si>
    <t>5.1</t>
  </si>
  <si>
    <t>5.2</t>
  </si>
  <si>
    <t>5.3</t>
  </si>
  <si>
    <t>5.4</t>
  </si>
  <si>
    <t>5.5</t>
  </si>
  <si>
    <t>Allowance made for rock encountered for placing the culverts</t>
  </si>
  <si>
    <t>2.1 Box culverts cover slabs supply and lay</t>
  </si>
  <si>
    <t>4% of TOTAL PRICE</t>
  </si>
  <si>
    <t>Rock excavation</t>
  </si>
  <si>
    <t xml:space="preserve"> Draft</t>
  </si>
  <si>
    <t>Version 4</t>
  </si>
  <si>
    <t>PM%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</si>
</sst>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[$-C09]d\ mmmm\ yyyy;@"/>
    <numFmt numFmtId="167" formatCode="_-* #,##0.0000_-;\-* #,##0.0000_-;_-* &quot;-&quot;??_-;_-@_-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.5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.5"/>
      <color theme="1"/>
      <name val="Arial"/>
      <family val="2"/>
    </font>
    <font>
      <b/>
      <i/>
      <sz val="10.5"/>
      <name val="Arial"/>
      <family val="2"/>
    </font>
    <font>
      <i/>
      <sz val="8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2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3"/>
        <bgColor indexed="64"/>
      </patternFill>
    </fill>
    <fill>
      <patternFill patternType="lightDown">
        <fgColor theme="0" tint="-0.24994659260841701"/>
        <bgColor auto="1"/>
      </patternFill>
    </fill>
    <fill>
      <patternFill patternType="lightDown">
        <fgColor theme="0" tint="-0.24994659260841701"/>
        <bgColor indexed="65"/>
      </patternFill>
    </fill>
    <fill>
      <patternFill patternType="solid">
        <fgColor rgb="FF9BD4F3"/>
        <bgColor indexed="64"/>
      </patternFill>
    </fill>
    <fill>
      <patternFill patternType="solid">
        <fgColor rgb="FF47528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Down">
        <fgColor rgb="FF0066FF"/>
        <bgColor theme="2" tint="-9.9978637043366805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2" borderId="1">
      <alignment horizontal="center" vertical="top"/>
    </xf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" fillId="0" borderId="0"/>
    <xf numFmtId="0" fontId="13" fillId="0" borderId="4">
      <alignment horizontal="center" vertical="top"/>
    </xf>
    <xf numFmtId="0" fontId="13" fillId="0" borderId="4">
      <alignment horizontal="left" vertical="top"/>
    </xf>
    <xf numFmtId="0" fontId="14" fillId="11" borderId="4">
      <alignment horizontal="center" vertical="top"/>
    </xf>
    <xf numFmtId="0" fontId="3" fillId="0" borderId="0"/>
    <xf numFmtId="0" fontId="5" fillId="0" borderId="0"/>
    <xf numFmtId="0" fontId="7" fillId="2" borderId="4">
      <alignment horizontal="center" vertical="top"/>
    </xf>
    <xf numFmtId="9" fontId="17" fillId="0" borderId="0" applyFont="0" applyFill="0" applyBorder="0" applyAlignment="0" applyProtection="0"/>
    <xf numFmtId="0" fontId="2" fillId="0" borderId="0"/>
    <xf numFmtId="0" fontId="1" fillId="0" borderId="0"/>
  </cellStyleXfs>
  <cellXfs count="160">
    <xf numFmtId="0" fontId="0" fillId="0" borderId="0" xfId="0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5" fontId="9" fillId="0" borderId="2" xfId="1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9" fontId="9" fillId="0" borderId="2" xfId="2" applyNumberFormat="1" applyFont="1" applyFill="1" applyBorder="1" applyAlignment="1">
      <alignment horizontal="center"/>
    </xf>
    <xf numFmtId="0" fontId="0" fillId="0" borderId="0" xfId="0" applyFill="1" applyAlignment="1"/>
    <xf numFmtId="0" fontId="9" fillId="6" borderId="2" xfId="0" applyFont="1" applyFill="1" applyBorder="1" applyAlignment="1">
      <alignment horizontal="center"/>
    </xf>
    <xf numFmtId="165" fontId="9" fillId="0" borderId="3" xfId="1" applyNumberFormat="1" applyFont="1" applyFill="1" applyBorder="1" applyAlignment="1">
      <alignment horizontal="center"/>
    </xf>
    <xf numFmtId="9" fontId="9" fillId="0" borderId="3" xfId="2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vertical="top"/>
    </xf>
    <xf numFmtId="164" fontId="11" fillId="7" borderId="2" xfId="0" applyNumberFormat="1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4" fontId="9" fillId="0" borderId="0" xfId="0" applyNumberFormat="1" applyFont="1" applyFill="1" applyBorder="1" applyAlignment="1">
      <alignment horizontal="center"/>
    </xf>
    <xf numFmtId="44" fontId="9" fillId="0" borderId="3" xfId="0" applyNumberFormat="1" applyFont="1" applyFill="1" applyBorder="1" applyAlignment="1">
      <alignment horizontal="center"/>
    </xf>
    <xf numFmtId="44" fontId="9" fillId="0" borderId="2" xfId="0" applyNumberFormat="1" applyFont="1" applyFill="1" applyBorder="1" applyAlignment="1">
      <alignment horizontal="center"/>
    </xf>
    <xf numFmtId="44" fontId="11" fillId="7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 wrapText="1"/>
    </xf>
    <xf numFmtId="164" fontId="9" fillId="0" borderId="0" xfId="2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10" fillId="3" borderId="2" xfId="3" applyFont="1" applyFill="1" applyBorder="1" applyAlignment="1" applyProtection="1">
      <alignment horizontal="center"/>
    </xf>
    <xf numFmtId="44" fontId="10" fillId="3" borderId="2" xfId="3" applyNumberFormat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wrapText="1"/>
    </xf>
    <xf numFmtId="164" fontId="9" fillId="0" borderId="3" xfId="0" applyNumberFormat="1" applyFont="1" applyFill="1" applyBorder="1" applyAlignment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0" fillId="7" borderId="2" xfId="0" applyFont="1" applyFill="1" applyBorder="1" applyAlignment="1"/>
    <xf numFmtId="164" fontId="9" fillId="0" borderId="2" xfId="2" applyNumberFormat="1" applyFont="1" applyFill="1" applyBorder="1" applyAlignment="1"/>
    <xf numFmtId="0" fontId="9" fillId="0" borderId="0" xfId="0" applyFont="1" applyFill="1" applyBorder="1" applyAlignment="1">
      <alignment wrapText="1"/>
    </xf>
    <xf numFmtId="0" fontId="8" fillId="8" borderId="2" xfId="0" applyFont="1" applyFill="1" applyBorder="1" applyAlignment="1">
      <alignment wrapText="1"/>
    </xf>
    <xf numFmtId="164" fontId="9" fillId="8" borderId="2" xfId="2" applyNumberFormat="1" applyFont="1" applyFill="1" applyBorder="1" applyAlignment="1">
      <alignment horizontal="center"/>
    </xf>
    <xf numFmtId="164" fontId="9" fillId="8" borderId="2" xfId="0" applyNumberFormat="1" applyFont="1" applyFill="1" applyBorder="1" applyAlignment="1">
      <alignment horizontal="center"/>
    </xf>
    <xf numFmtId="44" fontId="9" fillId="8" borderId="2" xfId="0" applyNumberFormat="1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wrapText="1"/>
    </xf>
    <xf numFmtId="165" fontId="9" fillId="9" borderId="2" xfId="1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44" fontId="9" fillId="9" borderId="2" xfId="0" applyNumberFormat="1" applyFont="1" applyFill="1" applyBorder="1" applyAlignment="1">
      <alignment horizontal="center"/>
    </xf>
    <xf numFmtId="0" fontId="8" fillId="8" borderId="2" xfId="0" applyFont="1" applyFill="1" applyBorder="1" applyAlignment="1">
      <alignment horizontal="left" wrapText="1"/>
    </xf>
    <xf numFmtId="0" fontId="8" fillId="10" borderId="2" xfId="0" applyFont="1" applyFill="1" applyBorder="1" applyAlignment="1">
      <alignment wrapText="1"/>
    </xf>
    <xf numFmtId="164" fontId="9" fillId="10" borderId="2" xfId="2" applyNumberFormat="1" applyFont="1" applyFill="1" applyBorder="1" applyAlignment="1">
      <alignment horizontal="center"/>
    </xf>
    <xf numFmtId="164" fontId="9" fillId="10" borderId="2" xfId="0" applyNumberFormat="1" applyFont="1" applyFill="1" applyBorder="1" applyAlignment="1">
      <alignment horizontal="center"/>
    </xf>
    <xf numFmtId="44" fontId="9" fillId="10" borderId="2" xfId="0" applyNumberFormat="1" applyFont="1" applyFill="1" applyBorder="1" applyAlignment="1">
      <alignment horizontal="center"/>
    </xf>
    <xf numFmtId="49" fontId="10" fillId="3" borderId="2" xfId="3" applyNumberFormat="1" applyFont="1" applyFill="1" applyBorder="1" applyAlignment="1" applyProtection="1">
      <alignment horizontal="left" vertical="top" indent="1"/>
    </xf>
    <xf numFmtId="49" fontId="8" fillId="8" borderId="2" xfId="1" applyNumberFormat="1" applyFont="1" applyFill="1" applyBorder="1" applyAlignment="1">
      <alignment horizontal="left" vertical="top" indent="1"/>
    </xf>
    <xf numFmtId="49" fontId="8" fillId="0" borderId="2" xfId="1" applyNumberFormat="1" applyFont="1" applyFill="1" applyBorder="1" applyAlignment="1">
      <alignment horizontal="left" vertical="top" indent="1"/>
    </xf>
    <xf numFmtId="49" fontId="9" fillId="0" borderId="3" xfId="1" applyNumberFormat="1" applyFont="1" applyFill="1" applyBorder="1" applyAlignment="1">
      <alignment horizontal="left" vertical="top" indent="1"/>
    </xf>
    <xf numFmtId="49" fontId="8" fillId="9" borderId="2" xfId="1" applyNumberFormat="1" applyFont="1" applyFill="1" applyBorder="1" applyAlignment="1">
      <alignment horizontal="left" vertical="top" indent="1"/>
    </xf>
    <xf numFmtId="49" fontId="9" fillId="0" borderId="2" xfId="1" applyNumberFormat="1" applyFont="1" applyFill="1" applyBorder="1" applyAlignment="1">
      <alignment horizontal="left" vertical="top" indent="1"/>
    </xf>
    <xf numFmtId="49" fontId="8" fillId="10" borderId="2" xfId="1" applyNumberFormat="1" applyFont="1" applyFill="1" applyBorder="1" applyAlignment="1">
      <alignment horizontal="left" vertical="top" indent="1"/>
    </xf>
    <xf numFmtId="49" fontId="10" fillId="7" borderId="2" xfId="1" applyNumberFormat="1" applyFont="1" applyFill="1" applyBorder="1" applyAlignment="1">
      <alignment horizontal="left" vertical="top" indent="1"/>
    </xf>
    <xf numFmtId="49" fontId="9" fillId="0" borderId="0" xfId="1" applyNumberFormat="1" applyFont="1" applyFill="1" applyBorder="1" applyAlignment="1">
      <alignment horizontal="left" vertical="top" indent="1"/>
    </xf>
    <xf numFmtId="0" fontId="15" fillId="0" borderId="0" xfId="0" applyNumberFormat="1" applyFont="1" applyFill="1" applyBorder="1" applyAlignment="1">
      <alignment horizontal="right" vertical="top"/>
    </xf>
    <xf numFmtId="0" fontId="15" fillId="0" borderId="0" xfId="0" applyNumberFormat="1" applyFont="1" applyFill="1" applyBorder="1" applyAlignment="1">
      <alignment horizontal="left" vertical="top"/>
    </xf>
    <xf numFmtId="49" fontId="8" fillId="0" borderId="0" xfId="1" applyNumberFormat="1" applyFont="1" applyFill="1" applyBorder="1" applyAlignment="1">
      <alignment horizontal="left" vertical="top" indent="1"/>
    </xf>
    <xf numFmtId="10" fontId="9" fillId="0" borderId="3" xfId="15" applyNumberFormat="1" applyFont="1" applyFill="1" applyBorder="1" applyAlignment="1">
      <alignment horizontal="center"/>
    </xf>
    <xf numFmtId="10" fontId="9" fillId="8" borderId="2" xfId="15" applyNumberFormat="1" applyFont="1" applyFill="1" applyBorder="1" applyAlignment="1">
      <alignment horizontal="center"/>
    </xf>
    <xf numFmtId="10" fontId="9" fillId="5" borderId="2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0" fontId="9" fillId="4" borderId="8" xfId="15" applyNumberFormat="1" applyFont="1" applyFill="1" applyBorder="1" applyAlignment="1">
      <alignment horizontal="center"/>
    </xf>
    <xf numFmtId="167" fontId="9" fillId="5" borderId="2" xfId="1" applyNumberFormat="1" applyFont="1" applyFill="1" applyBorder="1" applyAlignment="1">
      <alignment horizontal="center"/>
    </xf>
    <xf numFmtId="164" fontId="9" fillId="0" borderId="8" xfId="2" applyNumberFormat="1" applyFont="1" applyFill="1" applyBorder="1" applyAlignment="1">
      <alignment horizontal="right"/>
    </xf>
    <xf numFmtId="9" fontId="9" fillId="0" borderId="3" xfId="2" applyNumberFormat="1" applyFont="1" applyFill="1" applyBorder="1" applyAlignment="1">
      <alignment horizontal="right"/>
    </xf>
    <xf numFmtId="0" fontId="9" fillId="8" borderId="2" xfId="0" applyFont="1" applyFill="1" applyBorder="1" applyAlignment="1">
      <alignment horizontal="right"/>
    </xf>
    <xf numFmtId="164" fontId="9" fillId="8" borderId="2" xfId="0" applyNumberFormat="1" applyFont="1" applyFill="1" applyBorder="1" applyAlignment="1">
      <alignment horizontal="right"/>
    </xf>
    <xf numFmtId="164" fontId="9" fillId="9" borderId="2" xfId="2" applyNumberFormat="1" applyFont="1" applyFill="1" applyBorder="1" applyAlignment="1">
      <alignment horizontal="right"/>
    </xf>
    <xf numFmtId="164" fontId="9" fillId="0" borderId="2" xfId="2" applyNumberFormat="1" applyFont="1" applyFill="1" applyBorder="1" applyAlignment="1">
      <alignment horizontal="right"/>
    </xf>
    <xf numFmtId="164" fontId="9" fillId="10" borderId="2" xfId="0" applyNumberFormat="1" applyFont="1" applyFill="1" applyBorder="1" applyAlignment="1">
      <alignment horizontal="right"/>
    </xf>
    <xf numFmtId="164" fontId="8" fillId="8" borderId="2" xfId="0" applyNumberFormat="1" applyFont="1" applyFill="1" applyBorder="1" applyAlignment="1">
      <alignment horizontal="right"/>
    </xf>
    <xf numFmtId="164" fontId="9" fillId="6" borderId="2" xfId="0" applyNumberFormat="1" applyFont="1" applyFill="1" applyBorder="1" applyAlignment="1">
      <alignment horizontal="right"/>
    </xf>
    <xf numFmtId="0" fontId="9" fillId="6" borderId="2" xfId="0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4" fontId="9" fillId="9" borderId="2" xfId="0" applyNumberFormat="1" applyFont="1" applyFill="1" applyBorder="1" applyAlignment="1">
      <alignment horizontal="right"/>
    </xf>
    <xf numFmtId="164" fontId="9" fillId="9" borderId="7" xfId="0" applyNumberFormat="1" applyFont="1" applyFill="1" applyBorder="1" applyAlignment="1">
      <alignment horizontal="right"/>
    </xf>
    <xf numFmtId="164" fontId="8" fillId="10" borderId="2" xfId="0" applyNumberFormat="1" applyFont="1" applyFill="1" applyBorder="1" applyAlignment="1">
      <alignment horizontal="right"/>
    </xf>
    <xf numFmtId="164" fontId="10" fillId="7" borderId="2" xfId="0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right" vertical="top"/>
    </xf>
    <xf numFmtId="14" fontId="15" fillId="0" borderId="0" xfId="0" applyNumberFormat="1" applyFont="1" applyFill="1" applyBorder="1" applyAlignment="1">
      <alignment horizontal="left" vertical="top"/>
    </xf>
    <xf numFmtId="0" fontId="10" fillId="3" borderId="7" xfId="3" applyFont="1" applyFill="1" applyBorder="1" applyAlignment="1" applyProtection="1">
      <alignment horizontal="center"/>
    </xf>
    <xf numFmtId="165" fontId="9" fillId="0" borderId="0" xfId="1" applyNumberFormat="1" applyFont="1" applyFill="1" applyBorder="1" applyAlignment="1">
      <alignment horizontal="left"/>
    </xf>
    <xf numFmtId="164" fontId="11" fillId="7" borderId="2" xfId="2" applyNumberFormat="1" applyFont="1" applyFill="1" applyBorder="1" applyAlignment="1">
      <alignment horizontal="left"/>
    </xf>
    <xf numFmtId="165" fontId="9" fillId="0" borderId="2" xfId="1" applyNumberFormat="1" applyFont="1" applyFill="1" applyBorder="1" applyAlignment="1">
      <alignment horizontal="left"/>
    </xf>
    <xf numFmtId="165" fontId="9" fillId="0" borderId="3" xfId="1" applyNumberFormat="1" applyFont="1" applyFill="1" applyBorder="1" applyAlignment="1">
      <alignment horizontal="left"/>
    </xf>
    <xf numFmtId="0" fontId="18" fillId="0" borderId="0" xfId="12" applyFont="1" applyAlignment="1">
      <alignment vertical="top"/>
    </xf>
    <xf numFmtId="49" fontId="8" fillId="0" borderId="0" xfId="13" applyNumberFormat="1" applyFont="1" applyBorder="1" applyAlignment="1" applyProtection="1">
      <protection locked="0"/>
    </xf>
    <xf numFmtId="166" fontId="8" fillId="0" borderId="0" xfId="13" applyNumberFormat="1" applyFont="1" applyBorder="1" applyAlignment="1" applyProtection="1">
      <alignment horizontal="right"/>
      <protection locked="0"/>
    </xf>
    <xf numFmtId="0" fontId="8" fillId="0" borderId="0" xfId="13" applyNumberFormat="1" applyFont="1" applyBorder="1" applyAlignment="1" applyProtection="1">
      <protection locked="0"/>
    </xf>
    <xf numFmtId="0" fontId="9" fillId="0" borderId="0" xfId="0" applyNumberFormat="1" applyFont="1" applyFill="1" applyBorder="1" applyAlignment="1">
      <alignment horizontal="left"/>
    </xf>
    <xf numFmtId="0" fontId="8" fillId="0" borderId="0" xfId="13" applyNumberFormat="1" applyFont="1" applyBorder="1" applyAlignment="1" applyProtection="1">
      <alignment horizontal="left" indent="1"/>
      <protection locked="0"/>
    </xf>
    <xf numFmtId="0" fontId="10" fillId="3" borderId="5" xfId="13" applyNumberFormat="1" applyFont="1" applyFill="1" applyBorder="1" applyAlignment="1" applyProtection="1">
      <alignment horizontal="center" vertical="top" wrapText="1"/>
      <protection locked="0"/>
    </xf>
    <xf numFmtId="0" fontId="8" fillId="8" borderId="5" xfId="13" applyNumberFormat="1" applyFont="1" applyFill="1" applyBorder="1" applyAlignment="1" applyProtection="1">
      <alignment horizontal="left"/>
      <protection locked="0"/>
    </xf>
    <xf numFmtId="0" fontId="8" fillId="0" borderId="6" xfId="13" applyNumberFormat="1" applyFont="1" applyFill="1" applyBorder="1" applyAlignment="1" applyProtection="1">
      <alignment horizontal="left"/>
      <protection locked="0"/>
    </xf>
    <xf numFmtId="0" fontId="8" fillId="10" borderId="5" xfId="13" applyNumberFormat="1" applyFont="1" applyFill="1" applyBorder="1" applyAlignment="1" applyProtection="1">
      <alignment horizontal="left"/>
      <protection locked="0"/>
    </xf>
    <xf numFmtId="0" fontId="8" fillId="0" borderId="5" xfId="13" applyNumberFormat="1" applyFont="1" applyFill="1" applyBorder="1" applyAlignment="1" applyProtection="1">
      <alignment horizontal="left"/>
      <protection locked="0"/>
    </xf>
    <xf numFmtId="0" fontId="10" fillId="7" borderId="5" xfId="13" applyNumberFormat="1" applyFont="1" applyFill="1" applyBorder="1" applyAlignment="1" applyProtection="1">
      <alignment horizontal="left"/>
      <protection locked="0"/>
    </xf>
    <xf numFmtId="49" fontId="19" fillId="0" borderId="0" xfId="1" applyNumberFormat="1" applyFont="1" applyFill="1" applyBorder="1" applyAlignment="1">
      <alignment horizontal="left" vertical="top" indent="1"/>
    </xf>
    <xf numFmtId="20" fontId="8" fillId="0" borderId="0" xfId="0" applyNumberFormat="1" applyFont="1" applyFill="1" applyBorder="1" applyAlignment="1">
      <alignment wrapText="1"/>
    </xf>
    <xf numFmtId="49" fontId="8" fillId="0" borderId="0" xfId="1" applyNumberFormat="1" applyFont="1" applyFill="1" applyBorder="1" applyAlignment="1">
      <alignment horizontal="right" vertical="top" indent="1"/>
    </xf>
    <xf numFmtId="49" fontId="8" fillId="0" borderId="0" xfId="1" applyNumberFormat="1" applyFont="1" applyFill="1" applyBorder="1" applyAlignment="1">
      <alignment horizontal="left" vertical="top"/>
    </xf>
    <xf numFmtId="0" fontId="9" fillId="0" borderId="0" xfId="0" quotePrefix="1" applyFont="1" applyFill="1" applyBorder="1" applyAlignment="1"/>
    <xf numFmtId="44" fontId="9" fillId="5" borderId="2" xfId="15" applyNumberFormat="1" applyFont="1" applyFill="1" applyBorder="1" applyAlignment="1">
      <alignment horizontal="center"/>
    </xf>
    <xf numFmtId="44" fontId="9" fillId="0" borderId="3" xfId="15" applyNumberFormat="1" applyFont="1" applyFill="1" applyBorder="1" applyAlignment="1">
      <alignment horizontal="center"/>
    </xf>
    <xf numFmtId="44" fontId="9" fillId="8" borderId="2" xfId="15" applyNumberFormat="1" applyFont="1" applyFill="1" applyBorder="1" applyAlignment="1">
      <alignment horizontal="center"/>
    </xf>
    <xf numFmtId="44" fontId="9" fillId="12" borderId="2" xfId="15" applyNumberFormat="1" applyFont="1" applyFill="1" applyBorder="1" applyAlignment="1">
      <alignment horizontal="center"/>
    </xf>
    <xf numFmtId="164" fontId="8" fillId="12" borderId="2" xfId="0" applyNumberFormat="1" applyFont="1" applyFill="1" applyBorder="1" applyAlignment="1">
      <alignment horizontal="right"/>
    </xf>
    <xf numFmtId="0" fontId="10" fillId="3" borderId="9" xfId="3" applyFont="1" applyFill="1" applyBorder="1" applyAlignment="1" applyProtection="1">
      <alignment horizontal="center" wrapText="1"/>
    </xf>
    <xf numFmtId="0" fontId="10" fillId="3" borderId="10" xfId="3" applyFont="1" applyFill="1" applyBorder="1" applyAlignment="1" applyProtection="1">
      <alignment horizontal="center" wrapText="1"/>
    </xf>
    <xf numFmtId="0" fontId="10" fillId="3" borderId="11" xfId="13" applyNumberFormat="1" applyFont="1" applyFill="1" applyBorder="1" applyAlignment="1" applyProtection="1">
      <alignment vertical="top"/>
      <protection locked="0"/>
    </xf>
    <xf numFmtId="0" fontId="10" fillId="3" borderId="12" xfId="13" applyNumberFormat="1" applyFont="1" applyFill="1" applyBorder="1" applyAlignment="1" applyProtection="1">
      <alignment vertical="top"/>
      <protection locked="0"/>
    </xf>
    <xf numFmtId="0" fontId="20" fillId="0" borderId="0" xfId="12" applyFont="1" applyAlignment="1">
      <alignment vertical="top"/>
    </xf>
    <xf numFmtId="0" fontId="21" fillId="0" borderId="0" xfId="12" applyFont="1" applyAlignment="1">
      <alignment vertical="top"/>
    </xf>
    <xf numFmtId="0" fontId="22" fillId="0" borderId="0" xfId="12" applyFont="1" applyAlignment="1">
      <alignment vertical="top"/>
    </xf>
    <xf numFmtId="164" fontId="18" fillId="0" borderId="0" xfId="12" applyNumberFormat="1" applyFont="1" applyAlignment="1">
      <alignment vertical="top"/>
    </xf>
    <xf numFmtId="44" fontId="18" fillId="0" borderId="0" xfId="12" applyNumberFormat="1" applyFont="1" applyAlignment="1">
      <alignment vertical="top"/>
    </xf>
    <xf numFmtId="9" fontId="18" fillId="0" borderId="0" xfId="15" applyFont="1" applyAlignment="1">
      <alignment vertical="top"/>
    </xf>
    <xf numFmtId="1" fontId="18" fillId="0" borderId="0" xfId="12" applyNumberFormat="1" applyFont="1" applyAlignment="1">
      <alignment vertical="top"/>
    </xf>
    <xf numFmtId="10" fontId="9" fillId="0" borderId="0" xfId="15" applyNumberFormat="1" applyFont="1" applyFill="1" applyBorder="1" applyAlignment="1">
      <alignment horizontal="left"/>
    </xf>
    <xf numFmtId="0" fontId="23" fillId="0" borderId="0" xfId="12" applyFont="1" applyAlignment="1">
      <alignment vertical="top"/>
    </xf>
    <xf numFmtId="0" fontId="0" fillId="0" borderId="0" xfId="0" applyFill="1" applyAlignment="1">
      <alignment horizontal="right"/>
    </xf>
    <xf numFmtId="164" fontId="8" fillId="8" borderId="5" xfId="2" applyNumberFormat="1" applyFont="1" applyFill="1" applyBorder="1" applyAlignment="1" applyProtection="1">
      <protection locked="0"/>
    </xf>
    <xf numFmtId="164" fontId="8" fillId="0" borderId="6" xfId="2" applyNumberFormat="1" applyFont="1" applyFill="1" applyBorder="1" applyAlignment="1" applyProtection="1">
      <protection locked="0"/>
    </xf>
    <xf numFmtId="164" fontId="8" fillId="10" borderId="5" xfId="2" applyNumberFormat="1" applyFont="1" applyFill="1" applyBorder="1" applyAlignment="1" applyProtection="1">
      <protection locked="0"/>
    </xf>
    <xf numFmtId="164" fontId="8" fillId="0" borderId="5" xfId="2" applyNumberFormat="1" applyFont="1" applyFill="1" applyBorder="1" applyAlignment="1" applyProtection="1">
      <protection locked="0"/>
    </xf>
    <xf numFmtId="164" fontId="10" fillId="7" borderId="5" xfId="2" applyNumberFormat="1" applyFont="1" applyFill="1" applyBorder="1" applyAlignment="1" applyProtection="1">
      <protection locked="0"/>
    </xf>
    <xf numFmtId="0" fontId="8" fillId="9" borderId="2" xfId="0" applyFont="1" applyFill="1" applyBorder="1" applyAlignment="1">
      <alignment horizontal="left" wrapText="1"/>
    </xf>
    <xf numFmtId="0" fontId="9" fillId="9" borderId="2" xfId="0" applyFont="1" applyFill="1" applyBorder="1" applyAlignment="1">
      <alignment horizontal="center" wrapText="1"/>
    </xf>
    <xf numFmtId="164" fontId="9" fillId="9" borderId="2" xfId="0" applyNumberFormat="1" applyFont="1" applyFill="1" applyBorder="1" applyAlignment="1">
      <alignment horizontal="center"/>
    </xf>
    <xf numFmtId="0" fontId="18" fillId="0" borderId="0" xfId="0" applyFont="1" applyAlignment="1">
      <alignment vertical="top"/>
    </xf>
    <xf numFmtId="164" fontId="9" fillId="0" borderId="2" xfId="0" applyNumberFormat="1" applyFont="1" applyFill="1" applyBorder="1" applyAlignment="1">
      <alignment horizontal="center"/>
    </xf>
    <xf numFmtId="164" fontId="9" fillId="6" borderId="7" xfId="0" applyNumberFormat="1" applyFont="1" applyFill="1" applyBorder="1" applyAlignment="1">
      <alignment horizontal="right"/>
    </xf>
    <xf numFmtId="165" fontId="18" fillId="0" borderId="0" xfId="12" applyNumberFormat="1" applyFont="1" applyAlignment="1">
      <alignment vertical="top"/>
    </xf>
    <xf numFmtId="49" fontId="24" fillId="0" borderId="0" xfId="13" applyNumberFormat="1" applyFont="1" applyBorder="1" applyAlignment="1" applyProtection="1">
      <protection locked="0"/>
    </xf>
    <xf numFmtId="0" fontId="25" fillId="0" borderId="0" xfId="0" applyFont="1" applyFill="1" applyBorder="1" applyAlignment="1">
      <alignment horizontal="center"/>
    </xf>
    <xf numFmtId="49" fontId="26" fillId="0" borderId="0" xfId="13" applyNumberFormat="1" applyFont="1" applyBorder="1" applyAlignment="1" applyProtection="1">
      <protection locked="0"/>
    </xf>
    <xf numFmtId="0" fontId="18" fillId="0" borderId="13" xfId="0" applyFont="1" applyBorder="1" applyAlignment="1" applyProtection="1">
      <alignment horizontal="left" vertical="top" wrapText="1"/>
    </xf>
    <xf numFmtId="0" fontId="8" fillId="0" borderId="0" xfId="0" applyFont="1" applyFill="1" applyBorder="1"/>
    <xf numFmtId="164" fontId="9" fillId="6" borderId="3" xfId="0" applyNumberFormat="1" applyFont="1" applyFill="1" applyBorder="1" applyAlignment="1">
      <alignment horizontal="right"/>
    </xf>
    <xf numFmtId="49" fontId="9" fillId="14" borderId="3" xfId="1" applyNumberFormat="1" applyFont="1" applyFill="1" applyBorder="1" applyAlignment="1">
      <alignment horizontal="left" vertical="top" indent="1"/>
    </xf>
    <xf numFmtId="0" fontId="8" fillId="14" borderId="2" xfId="0" applyFont="1" applyFill="1" applyBorder="1" applyAlignment="1">
      <alignment wrapText="1"/>
    </xf>
    <xf numFmtId="165" fontId="9" fillId="14" borderId="3" xfId="1" applyNumberFormat="1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44" fontId="9" fillId="14" borderId="3" xfId="0" applyNumberFormat="1" applyFont="1" applyFill="1" applyBorder="1" applyAlignment="1">
      <alignment horizontal="center"/>
    </xf>
    <xf numFmtId="9" fontId="9" fillId="14" borderId="3" xfId="2" applyNumberFormat="1" applyFont="1" applyFill="1" applyBorder="1" applyAlignment="1">
      <alignment horizontal="center"/>
    </xf>
    <xf numFmtId="164" fontId="9" fillId="14" borderId="2" xfId="0" applyNumberFormat="1" applyFont="1" applyFill="1" applyBorder="1" applyAlignment="1">
      <alignment horizontal="right"/>
    </xf>
    <xf numFmtId="0" fontId="8" fillId="8" borderId="5" xfId="13" applyNumberFormat="1" applyFont="1" applyFill="1" applyBorder="1" applyAlignment="1" applyProtection="1">
      <alignment horizontal="right"/>
      <protection locked="0"/>
    </xf>
    <xf numFmtId="164" fontId="8" fillId="13" borderId="5" xfId="2" applyNumberFormat="1" applyFont="1" applyFill="1" applyBorder="1" applyAlignment="1" applyProtection="1">
      <protection locked="0"/>
    </xf>
    <xf numFmtId="164" fontId="8" fillId="13" borderId="5" xfId="2" applyNumberFormat="1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/>
    <xf numFmtId="0" fontId="29" fillId="0" borderId="0" xfId="0" applyNumberFormat="1" applyFont="1" applyFill="1" applyBorder="1" applyAlignment="1">
      <alignment horizontal="right" vertical="top"/>
    </xf>
    <xf numFmtId="10" fontId="29" fillId="0" borderId="0" xfId="0" applyNumberFormat="1" applyFont="1" applyFill="1" applyAlignment="1"/>
    <xf numFmtId="166" fontId="8" fillId="0" borderId="0" xfId="13" applyNumberFormat="1" applyFont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left" vertical="top"/>
    </xf>
  </cellXfs>
  <cellStyles count="18">
    <cellStyle name="Comma" xfId="1" builtinId="3"/>
    <cellStyle name="Comma 2" xfId="6"/>
    <cellStyle name="Currency" xfId="2" builtinId="4"/>
    <cellStyle name="Currency 2" xfId="7"/>
    <cellStyle name="Normal" xfId="0" builtinId="0"/>
    <cellStyle name="Normal 10" xfId="4"/>
    <cellStyle name="Normal 10 2" xfId="13"/>
    <cellStyle name="Normal 2" xfId="8"/>
    <cellStyle name="Normal 3" xfId="12"/>
    <cellStyle name="Normal 4" xfId="16"/>
    <cellStyle name="Normal 5" xfId="17"/>
    <cellStyle name="Normal 7" xfId="5"/>
    <cellStyle name="Percent" xfId="15" builtinId="5"/>
    <cellStyle name="Table Centre" xfId="9"/>
    <cellStyle name="Table Left" xfId="10"/>
    <cellStyle name="Tbl Heading" xfId="3"/>
    <cellStyle name="Tbl Heading 2" xfId="14"/>
    <cellStyle name="Tbl Last Row" xfId="1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66FF"/>
      <color rgb="FF0000FF"/>
      <color rgb="FFECF4F1"/>
      <color rgb="FF9BD4F3"/>
      <color rgb="FF80A6A3"/>
      <color rgb="FF7A82AA"/>
      <color rgb="FFC0C3D7"/>
      <color rgb="FF475284"/>
      <color rgb="FFB7C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Report">
      <a:dk1>
        <a:sysClr val="windowText" lastClr="000000"/>
      </a:dk1>
      <a:lt1>
        <a:sysClr val="window" lastClr="FFFFFF"/>
      </a:lt1>
      <a:dk2>
        <a:srgbClr val="003359"/>
      </a:dk2>
      <a:lt2>
        <a:srgbClr val="CFE0DB"/>
      </a:lt2>
      <a:accent1>
        <a:srgbClr val="009B48"/>
      </a:accent1>
      <a:accent2>
        <a:srgbClr val="E1E4C9"/>
      </a:accent2>
      <a:accent3>
        <a:srgbClr val="C0504D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</sheetPr>
  <dimension ref="A1:T62"/>
  <sheetViews>
    <sheetView tabSelected="1" view="pageBreakPreview" zoomScale="85" zoomScaleNormal="100" zoomScaleSheetLayoutView="85" zoomScalePageLayoutView="70" workbookViewId="0">
      <selection activeCell="D33" sqref="D33"/>
    </sheetView>
  </sheetViews>
  <sheetFormatPr defaultRowHeight="12.75"/>
  <cols>
    <col min="1" max="1" width="11.42578125" style="11" customWidth="1"/>
    <col min="2" max="2" width="44.140625" style="11" customWidth="1"/>
    <col min="3" max="4" width="28.85546875" style="7" customWidth="1"/>
    <col min="5" max="5" width="25.42578125" style="7" customWidth="1"/>
    <col min="6" max="16384" width="9.140625" style="91"/>
  </cols>
  <sheetData>
    <row r="1" spans="1:5" ht="15" customHeight="1">
      <c r="A1" s="94"/>
      <c r="B1" s="94"/>
      <c r="C1" s="92"/>
      <c r="D1" s="92"/>
      <c r="E1" s="92"/>
    </row>
    <row r="2" spans="1:5" ht="15" customHeight="1">
      <c r="A2" s="94" t="s">
        <v>112</v>
      </c>
      <c r="B2" s="94"/>
      <c r="C2" s="92"/>
      <c r="D2" s="92"/>
      <c r="E2" s="92"/>
    </row>
    <row r="3" spans="1:5" ht="15" customHeight="1">
      <c r="A3" s="94" t="s">
        <v>36</v>
      </c>
      <c r="B3" s="94"/>
      <c r="C3" s="92"/>
      <c r="D3" s="92"/>
      <c r="E3" s="92"/>
    </row>
    <row r="4" spans="1:5" ht="26.25">
      <c r="A4" s="94" t="s">
        <v>106</v>
      </c>
      <c r="B4" s="94"/>
      <c r="C4" s="141" t="s">
        <v>150</v>
      </c>
      <c r="D4" s="139"/>
      <c r="E4" s="92"/>
    </row>
    <row r="5" spans="1:5" ht="15" customHeight="1">
      <c r="A5" s="94" t="s">
        <v>111</v>
      </c>
      <c r="B5" s="94"/>
      <c r="C5" s="92"/>
      <c r="D5" s="92"/>
      <c r="E5" s="92"/>
    </row>
    <row r="6" spans="1:5" ht="15" customHeight="1">
      <c r="A6" s="158">
        <f ca="1">NOW()</f>
        <v>42138.488978703703</v>
      </c>
      <c r="B6" s="158"/>
      <c r="C6" s="92"/>
      <c r="D6" s="92"/>
      <c r="E6" s="92"/>
    </row>
    <row r="7" spans="1:5" ht="15" customHeight="1">
      <c r="A7" s="94" t="s">
        <v>151</v>
      </c>
      <c r="B7" s="94"/>
      <c r="C7" s="92"/>
      <c r="D7" s="92"/>
      <c r="E7" s="92"/>
    </row>
    <row r="8" spans="1:5" ht="15" customHeight="1">
      <c r="A8" s="94"/>
      <c r="B8" s="94"/>
      <c r="C8" s="115"/>
      <c r="D8" s="115"/>
      <c r="E8" s="92"/>
    </row>
    <row r="9" spans="1:5" ht="15" customHeight="1">
      <c r="A9" s="97" t="s">
        <v>0</v>
      </c>
      <c r="B9" s="97" t="s">
        <v>34</v>
      </c>
      <c r="C9" s="115"/>
      <c r="D9" s="115"/>
      <c r="E9" s="116"/>
    </row>
    <row r="10" spans="1:5" ht="15" customHeight="1">
      <c r="A10" s="97"/>
      <c r="B10" s="97"/>
      <c r="C10" s="115" t="s">
        <v>108</v>
      </c>
      <c r="D10" s="115" t="s">
        <v>107</v>
      </c>
      <c r="E10" s="115"/>
    </row>
    <row r="11" spans="1:5" ht="30">
      <c r="A11" s="97"/>
      <c r="B11" s="97"/>
      <c r="C11" s="97" t="s">
        <v>109</v>
      </c>
      <c r="D11" s="97" t="s">
        <v>110</v>
      </c>
      <c r="E11" s="97" t="s">
        <v>103</v>
      </c>
    </row>
    <row r="12" spans="1:5" ht="15" customHeight="1">
      <c r="A12" s="98" t="s">
        <v>13</v>
      </c>
      <c r="B12" s="98" t="s">
        <v>53</v>
      </c>
      <c r="C12" s="127">
        <f>'boundary Rd'!G6</f>
        <v>64938.187038041702</v>
      </c>
      <c r="D12" s="127">
        <f>'Koukoura Dve'!G6</f>
        <v>45573.885578632995</v>
      </c>
      <c r="E12" s="154">
        <f>C12+D12</f>
        <v>110512.0726166747</v>
      </c>
    </row>
    <row r="13" spans="1:5" ht="15" customHeight="1">
      <c r="A13" s="98" t="s">
        <v>16</v>
      </c>
      <c r="B13" s="98" t="s">
        <v>54</v>
      </c>
      <c r="C13" s="127">
        <f>'boundary Rd'!G14</f>
        <v>145461.53896521343</v>
      </c>
      <c r="D13" s="127">
        <f>'Koukoura Dve'!G14</f>
        <v>102085.50369613792</v>
      </c>
      <c r="E13" s="154">
        <f t="shared" ref="E13:E23" si="0">C13+D13</f>
        <v>247547.04266135136</v>
      </c>
    </row>
    <row r="14" spans="1:5" ht="15" customHeight="1">
      <c r="A14" s="98" t="s">
        <v>18</v>
      </c>
      <c r="B14" s="98" t="s">
        <v>26</v>
      </c>
      <c r="C14" s="127">
        <f>'boundary Rd'!G24</f>
        <v>1317204.6052341119</v>
      </c>
      <c r="D14" s="127">
        <f>'Koukoura Dve'!G24</f>
        <v>878956.32745675999</v>
      </c>
      <c r="E14" s="154">
        <f t="shared" si="0"/>
        <v>2196160.9326908719</v>
      </c>
    </row>
    <row r="15" spans="1:5" ht="15" customHeight="1">
      <c r="A15" s="99"/>
      <c r="B15" s="99"/>
      <c r="C15" s="128"/>
      <c r="D15" s="128"/>
      <c r="E15" s="128"/>
    </row>
    <row r="16" spans="1:5" ht="15" customHeight="1">
      <c r="A16" s="100"/>
      <c r="B16" s="100" t="s">
        <v>46</v>
      </c>
      <c r="C16" s="129">
        <f>'boundary Rd'!G55</f>
        <v>1527604.3312373669</v>
      </c>
      <c r="D16" s="127">
        <f>'Koukoura Dve'!G55</f>
        <v>1026615.7167315308</v>
      </c>
      <c r="E16" s="153">
        <f t="shared" si="0"/>
        <v>2554220.047968898</v>
      </c>
    </row>
    <row r="17" spans="1:20" ht="15" customHeight="1">
      <c r="A17" s="99"/>
      <c r="B17" s="99"/>
      <c r="C17" s="128"/>
      <c r="D17" s="128"/>
      <c r="E17" s="128"/>
    </row>
    <row r="18" spans="1:20" ht="15" customHeight="1">
      <c r="A18" s="98" t="s">
        <v>19</v>
      </c>
      <c r="B18" s="98" t="s">
        <v>37</v>
      </c>
      <c r="C18" s="127"/>
      <c r="D18" s="127"/>
      <c r="E18" s="153"/>
    </row>
    <row r="19" spans="1:20" ht="15" customHeight="1">
      <c r="A19" s="101"/>
      <c r="B19" s="101" t="s">
        <v>29</v>
      </c>
      <c r="C19" s="130">
        <f>'boundary Rd'!G58</f>
        <v>305520.8662474734</v>
      </c>
      <c r="D19" s="130">
        <f>'Koukoura Dve'!G58</f>
        <v>205323.14334630617</v>
      </c>
      <c r="E19" s="130">
        <f t="shared" si="0"/>
        <v>510844.00959377957</v>
      </c>
    </row>
    <row r="20" spans="1:20" ht="15" customHeight="1">
      <c r="A20" s="98"/>
      <c r="B20" s="152" t="s">
        <v>48</v>
      </c>
      <c r="C20" s="127">
        <f>'boundary Rd'!G59</f>
        <v>1833125.1974848402</v>
      </c>
      <c r="D20" s="129">
        <f>'Koukoura Dve'!G59</f>
        <v>1231938.860077837</v>
      </c>
      <c r="E20" s="153">
        <f t="shared" si="0"/>
        <v>3065064.0575626772</v>
      </c>
    </row>
    <row r="21" spans="1:20">
      <c r="B21" s="156" t="s">
        <v>152</v>
      </c>
      <c r="C21" s="157">
        <f>'boundary Rd'!D4</f>
        <v>9.8599999999999993E-2</v>
      </c>
      <c r="D21" s="157">
        <f>'Koukoura Dve'!D4</f>
        <v>0.1037</v>
      </c>
    </row>
    <row r="22" spans="1:20" ht="15" customHeight="1">
      <c r="A22" s="102" t="s">
        <v>20</v>
      </c>
      <c r="B22" s="102" t="s">
        <v>30</v>
      </c>
      <c r="C22" s="131"/>
      <c r="D22" s="131"/>
      <c r="E22" s="131"/>
    </row>
    <row r="23" spans="1:20" ht="15" customHeight="1">
      <c r="A23" s="99"/>
      <c r="B23" s="99"/>
      <c r="C23" s="130">
        <f>'boundary Rd'!G61</f>
        <v>1833125.1974848402</v>
      </c>
      <c r="D23" s="130">
        <f>'Koukoura Dve'!G61</f>
        <v>1231938.860077837</v>
      </c>
      <c r="E23" s="153">
        <f t="shared" si="0"/>
        <v>3065064.0575626772</v>
      </c>
    </row>
    <row r="24" spans="1:20" ht="15" customHeight="1"/>
    <row r="25" spans="1:20" ht="15" customHeight="1">
      <c r="A25" s="103" t="s">
        <v>66</v>
      </c>
      <c r="B25" s="104" t="s">
        <v>67</v>
      </c>
      <c r="C25" s="87"/>
      <c r="D25" s="2"/>
      <c r="E25" s="15"/>
      <c r="F25" s="22"/>
      <c r="G25" s="20"/>
      <c r="H25" s="93"/>
      <c r="I25" s="22"/>
      <c r="J25" s="22"/>
    </row>
    <row r="26" spans="1:20" ht="15" customHeight="1">
      <c r="A26" s="105" t="s">
        <v>68</v>
      </c>
      <c r="B26" s="159" t="s">
        <v>69</v>
      </c>
      <c r="C26" s="159"/>
      <c r="D26" s="159"/>
      <c r="E26" s="159"/>
      <c r="F26" s="83"/>
      <c r="G26" s="20"/>
      <c r="H26" s="93"/>
      <c r="I26" s="83"/>
      <c r="J26" s="83"/>
    </row>
    <row r="27" spans="1:20" s="22" customFormat="1" ht="15" customHeight="1">
      <c r="A27" s="1"/>
      <c r="B27" s="106" t="s">
        <v>70</v>
      </c>
      <c r="C27" s="87"/>
      <c r="D27" s="2"/>
      <c r="E27" s="15"/>
      <c r="G27" s="20"/>
      <c r="H27" s="93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1:20" s="22" customFormat="1" ht="15" customHeight="1">
      <c r="A28" s="105" t="s">
        <v>58</v>
      </c>
      <c r="B28" s="1" t="s">
        <v>131</v>
      </c>
      <c r="C28" s="87"/>
      <c r="D28" s="82"/>
      <c r="E28" s="82"/>
      <c r="G28" s="20"/>
      <c r="H28" s="93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1:20" s="22" customFormat="1" ht="15" customHeight="1">
      <c r="A29" s="105"/>
      <c r="B29" s="143" t="s">
        <v>31</v>
      </c>
      <c r="C29" s="87"/>
      <c r="D29" s="82"/>
      <c r="E29" s="82"/>
      <c r="G29" s="20"/>
      <c r="H29" s="93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1:20" s="22" customFormat="1" ht="15" customHeight="1">
      <c r="A30" s="105" t="s">
        <v>61</v>
      </c>
      <c r="B30" s="1" t="s">
        <v>132</v>
      </c>
      <c r="C30" s="87"/>
      <c r="D30" s="82"/>
      <c r="E30" s="82"/>
      <c r="G30" s="20"/>
      <c r="H30" s="93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1:20" s="22" customFormat="1" ht="15" customHeight="1">
      <c r="A31" s="1"/>
      <c r="B31" s="106" t="s">
        <v>8</v>
      </c>
      <c r="C31" s="87"/>
      <c r="D31" s="82"/>
      <c r="E31" s="82"/>
      <c r="G31" s="20"/>
      <c r="H31" s="93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1:20" s="22" customFormat="1" ht="15" customHeight="1">
      <c r="A32" s="105">
        <v>4</v>
      </c>
      <c r="B32" s="1" t="s">
        <v>85</v>
      </c>
      <c r="C32" s="87"/>
      <c r="D32" s="82"/>
      <c r="E32" s="82"/>
      <c r="G32" s="20"/>
      <c r="H32" s="93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1:20" s="22" customFormat="1" ht="15" customHeight="1">
      <c r="A33" s="105">
        <v>5</v>
      </c>
      <c r="B33" s="1" t="s">
        <v>86</v>
      </c>
      <c r="C33" s="87"/>
      <c r="D33" s="82"/>
      <c r="E33" s="82"/>
      <c r="G33" s="20"/>
      <c r="H33" s="93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1:20" s="22" customFormat="1" ht="15" customHeight="1">
      <c r="A34" s="105" t="s">
        <v>84</v>
      </c>
      <c r="B34" s="1" t="s">
        <v>100</v>
      </c>
      <c r="C34" s="87"/>
      <c r="D34" s="82"/>
      <c r="E34" s="82"/>
      <c r="G34" s="20"/>
      <c r="H34" s="93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6" spans="1:20">
      <c r="A36" s="58" t="s">
        <v>41</v>
      </c>
      <c r="B36" s="59" t="s">
        <v>135</v>
      </c>
    </row>
    <row r="37" spans="1:20">
      <c r="A37" s="58" t="s">
        <v>40</v>
      </c>
      <c r="B37" s="85">
        <f ca="1">NOW()</f>
        <v>42138.488978703703</v>
      </c>
    </row>
    <row r="38" spans="1:20">
      <c r="A38" s="84"/>
    </row>
    <row r="39" spans="1:20">
      <c r="A39" s="58" t="s">
        <v>42</v>
      </c>
      <c r="B39" s="59"/>
    </row>
    <row r="40" spans="1:20">
      <c r="A40" s="58" t="s">
        <v>40</v>
      </c>
      <c r="B40" s="85">
        <f ca="1">NOW()</f>
        <v>42138.488978703703</v>
      </c>
    </row>
    <row r="56" spans="1:5">
      <c r="A56" s="7"/>
      <c r="B56" s="7"/>
    </row>
    <row r="62" spans="1:5">
      <c r="A62" s="91"/>
      <c r="B62" s="91"/>
      <c r="E62" s="91"/>
    </row>
  </sheetData>
  <mergeCells count="2">
    <mergeCell ref="A6:B6"/>
    <mergeCell ref="B26:E26"/>
  </mergeCells>
  <phoneticPr fontId="0" type="noConversion"/>
  <pageMargins left="0.59055118110236227" right="0.59055118110236227" top="0.9055118110236221" bottom="0.74803149606299213" header="0.31496062992125984" footer="0.31496062992125984"/>
  <pageSetup paperSize="9" scale="58" fitToHeight="0" orientation="landscape" r:id="rId1"/>
  <headerFooter scaleWithDoc="0">
    <oddHeader>&amp;L&amp;A
&amp;R&amp;G</oddHeader>
    <oddFooter>&amp;L&amp;"Arial,Regular"&amp;9&amp;Z&amp;F
&amp;D&amp;R&amp;"Arial,Regular"&amp;9Page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T93"/>
  <sheetViews>
    <sheetView view="pageBreakPreview" zoomScale="85" zoomScaleNormal="85" zoomScaleSheetLayoutView="85" zoomScalePageLayoutView="130" workbookViewId="0">
      <selection activeCell="D4" sqref="D4"/>
    </sheetView>
  </sheetViews>
  <sheetFormatPr defaultRowHeight="15" customHeight="1"/>
  <cols>
    <col min="1" max="1" width="9.7109375" style="57" customWidth="1"/>
    <col min="2" max="2" width="50" style="34" customWidth="1"/>
    <col min="3" max="3" width="12.7109375" style="82" customWidth="1"/>
    <col min="4" max="4" width="14.5703125" style="2" bestFit="1" customWidth="1"/>
    <col min="5" max="5" width="14.140625" style="15" customWidth="1"/>
    <col min="6" max="6" width="13.42578125" style="22" customWidth="1"/>
    <col min="7" max="7" width="23.42578125" style="20" customWidth="1"/>
    <col min="8" max="8" width="2.140625" style="20" hidden="1" customWidth="1"/>
    <col min="9" max="9" width="11.7109375" style="22" hidden="1" customWidth="1"/>
    <col min="10" max="10" width="16.140625" style="22" hidden="1" customWidth="1"/>
    <col min="11" max="11" width="10.5703125" style="91" bestFit="1" customWidth="1"/>
    <col min="12" max="12" width="17.42578125" style="91" bestFit="1" customWidth="1"/>
    <col min="13" max="13" width="12.5703125" style="91" bestFit="1" customWidth="1"/>
    <col min="14" max="14" width="10" style="91" bestFit="1" customWidth="1"/>
    <col min="15" max="15" width="17.42578125" style="91" bestFit="1" customWidth="1"/>
    <col min="16" max="16384" width="9.140625" style="91"/>
  </cols>
  <sheetData>
    <row r="1" spans="1:15" ht="15" customHeight="1">
      <c r="A1" s="92" t="s">
        <v>33</v>
      </c>
      <c r="B1" s="19"/>
      <c r="C1" s="140"/>
      <c r="G1" s="93">
        <f ca="1">Summary!A6</f>
        <v>42138.488978703703</v>
      </c>
      <c r="H1" s="93"/>
      <c r="L1" s="118" t="s">
        <v>78</v>
      </c>
      <c r="O1" s="117"/>
    </row>
    <row r="2" spans="1:15" ht="15" customHeight="1">
      <c r="A2" s="94" t="str">
        <f>Summary!A4</f>
        <v>CG140690</v>
      </c>
      <c r="B2" s="21"/>
      <c r="G2" s="93" t="str">
        <f>Summary!A7</f>
        <v>Version 4</v>
      </c>
      <c r="H2" s="93"/>
      <c r="L2" s="118" t="s">
        <v>76</v>
      </c>
      <c r="O2" s="117"/>
    </row>
    <row r="3" spans="1:15" ht="15" customHeight="1">
      <c r="A3" s="94" t="str">
        <f>Summary!C11</f>
        <v>Boundary Rd</v>
      </c>
      <c r="B3" s="23"/>
      <c r="C3" s="64" t="s">
        <v>51</v>
      </c>
      <c r="D3" s="95">
        <v>36.9</v>
      </c>
      <c r="F3" s="23"/>
      <c r="G3" s="23"/>
      <c r="H3" s="93"/>
      <c r="I3" s="23"/>
      <c r="J3" s="23"/>
      <c r="L3" s="119" t="s">
        <v>71</v>
      </c>
      <c r="M3" s="125"/>
      <c r="O3" s="117"/>
    </row>
    <row r="4" spans="1:15" ht="15" customHeight="1">
      <c r="A4" s="96" t="str">
        <f>Summary!C10</f>
        <v>CL-1002</v>
      </c>
      <c r="B4" s="23"/>
      <c r="C4" s="64" t="s">
        <v>47</v>
      </c>
      <c r="D4" s="124">
        <v>9.8599999999999993E-2</v>
      </c>
      <c r="F4" s="23"/>
      <c r="G4" s="23"/>
      <c r="H4" s="93"/>
      <c r="I4" s="113" t="s">
        <v>52</v>
      </c>
      <c r="J4" s="114"/>
      <c r="L4" s="119" t="s">
        <v>72</v>
      </c>
      <c r="M4" s="125"/>
    </row>
    <row r="5" spans="1:15" ht="15" customHeight="1">
      <c r="A5" s="49" t="s">
        <v>0</v>
      </c>
      <c r="B5" s="24" t="s">
        <v>34</v>
      </c>
      <c r="C5" s="24" t="s">
        <v>38</v>
      </c>
      <c r="D5" s="24" t="s">
        <v>1</v>
      </c>
      <c r="E5" s="25" t="s">
        <v>2</v>
      </c>
      <c r="F5" s="24" t="s">
        <v>3</v>
      </c>
      <c r="G5" s="86" t="s">
        <v>35</v>
      </c>
      <c r="H5" s="93"/>
      <c r="I5" s="25" t="s">
        <v>55</v>
      </c>
      <c r="J5" s="86" t="s">
        <v>56</v>
      </c>
      <c r="L5" s="119" t="s">
        <v>73</v>
      </c>
      <c r="M5" s="125"/>
    </row>
    <row r="6" spans="1:15" ht="15" customHeight="1">
      <c r="A6" s="50" t="s">
        <v>13</v>
      </c>
      <c r="B6" s="35" t="s">
        <v>53</v>
      </c>
      <c r="C6" s="36"/>
      <c r="D6" s="37"/>
      <c r="E6" s="38"/>
      <c r="F6" s="39"/>
      <c r="G6" s="74">
        <f>SUM(F6:F13)</f>
        <v>64938.187038041702</v>
      </c>
      <c r="H6" s="93"/>
      <c r="I6" s="38"/>
      <c r="J6" s="74">
        <f>SUM(I7:I12)</f>
        <v>1759.8424671556018</v>
      </c>
      <c r="L6" s="119" t="s">
        <v>80</v>
      </c>
      <c r="O6" s="118"/>
    </row>
    <row r="7" spans="1:15" ht="15" customHeight="1">
      <c r="A7" s="51"/>
      <c r="B7" s="26" t="s">
        <v>14</v>
      </c>
      <c r="C7" s="5"/>
      <c r="D7" s="65">
        <v>0.03</v>
      </c>
      <c r="E7" s="63">
        <f>($D$4/0.1)*D7</f>
        <v>2.9579999999999995E-2</v>
      </c>
      <c r="F7" s="67">
        <f>E7*$G$24</f>
        <v>38962.91222282502</v>
      </c>
      <c r="G7" s="8"/>
      <c r="H7" s="93"/>
      <c r="I7" s="108">
        <f>F7/$D$3</f>
        <v>1055.9054802933611</v>
      </c>
      <c r="J7" s="8"/>
      <c r="K7" s="121"/>
      <c r="L7" s="118" t="s">
        <v>77</v>
      </c>
    </row>
    <row r="8" spans="1:15" ht="15" customHeight="1">
      <c r="A8" s="51"/>
      <c r="B8" s="27" t="s">
        <v>21</v>
      </c>
      <c r="C8" s="5"/>
      <c r="D8" s="63"/>
      <c r="E8" s="63"/>
      <c r="F8" s="67"/>
      <c r="G8" s="8"/>
      <c r="H8" s="93"/>
      <c r="I8" s="108" t="s">
        <v>102</v>
      </c>
      <c r="J8" s="8"/>
      <c r="L8" s="91" t="s">
        <v>74</v>
      </c>
    </row>
    <row r="9" spans="1:15" ht="15" customHeight="1">
      <c r="A9" s="51"/>
      <c r="B9" s="27" t="s">
        <v>27</v>
      </c>
      <c r="C9" s="5"/>
      <c r="D9" s="63"/>
      <c r="E9" s="63"/>
      <c r="F9" s="67"/>
      <c r="G9" s="8"/>
      <c r="H9" s="93"/>
      <c r="I9" s="108"/>
      <c r="J9" s="8"/>
      <c r="L9" s="91" t="s">
        <v>75</v>
      </c>
    </row>
    <row r="10" spans="1:15" ht="15" customHeight="1">
      <c r="A10" s="51"/>
      <c r="B10" s="27" t="s">
        <v>22</v>
      </c>
      <c r="C10" s="5"/>
      <c r="D10" s="63"/>
      <c r="E10" s="63"/>
      <c r="F10" s="67"/>
      <c r="G10" s="8"/>
      <c r="H10" s="93"/>
      <c r="I10" s="108"/>
      <c r="J10" s="8"/>
      <c r="L10" s="91" t="s">
        <v>79</v>
      </c>
    </row>
    <row r="11" spans="1:15" ht="15" customHeight="1">
      <c r="A11" s="51"/>
      <c r="B11" s="27" t="s">
        <v>23</v>
      </c>
      <c r="C11" s="5"/>
      <c r="D11" s="63"/>
      <c r="E11" s="63"/>
      <c r="F11" s="67"/>
      <c r="G11" s="8"/>
      <c r="H11" s="93"/>
      <c r="I11" s="108"/>
      <c r="J11" s="8"/>
    </row>
    <row r="12" spans="1:15" ht="15" customHeight="1">
      <c r="A12" s="51"/>
      <c r="B12" s="26" t="s">
        <v>15</v>
      </c>
      <c r="C12" s="5"/>
      <c r="D12" s="65">
        <v>0.02</v>
      </c>
      <c r="E12" s="65">
        <f>($D$4/0.1)*D12</f>
        <v>1.9719999999999998E-2</v>
      </c>
      <c r="F12" s="67">
        <f>E12*$G$24</f>
        <v>25975.274815216682</v>
      </c>
      <c r="G12" s="8"/>
      <c r="H12" s="93"/>
      <c r="I12" s="108">
        <f>F12/$D$3</f>
        <v>703.9369868622407</v>
      </c>
      <c r="J12" s="8"/>
      <c r="K12" s="121"/>
      <c r="L12" s="118" t="s">
        <v>91</v>
      </c>
      <c r="M12" s="120"/>
      <c r="O12" s="118"/>
    </row>
    <row r="13" spans="1:15" ht="15" customHeight="1">
      <c r="A13" s="52"/>
      <c r="B13" s="28"/>
      <c r="C13" s="9"/>
      <c r="D13" s="61"/>
      <c r="E13" s="61"/>
      <c r="F13" s="68"/>
      <c r="G13" s="29"/>
      <c r="H13" s="93"/>
      <c r="I13" s="109"/>
      <c r="J13" s="29"/>
      <c r="L13" s="91" t="s">
        <v>92</v>
      </c>
      <c r="M13" s="138"/>
    </row>
    <row r="14" spans="1:15" ht="15" customHeight="1">
      <c r="A14" s="50" t="s">
        <v>16</v>
      </c>
      <c r="B14" s="44" t="s">
        <v>54</v>
      </c>
      <c r="C14" s="36"/>
      <c r="D14" s="62"/>
      <c r="E14" s="62"/>
      <c r="F14" s="69"/>
      <c r="G14" s="74">
        <f>SUM(F14:F23)</f>
        <v>145461.53896521343</v>
      </c>
      <c r="H14" s="93"/>
      <c r="I14" s="110"/>
      <c r="J14" s="74">
        <f>SUM(I15:I22)</f>
        <v>3519.684934311204</v>
      </c>
      <c r="L14" s="91" t="s">
        <v>96</v>
      </c>
    </row>
    <row r="15" spans="1:15" ht="15" customHeight="1">
      <c r="A15" s="51"/>
      <c r="B15" s="27" t="s">
        <v>25</v>
      </c>
      <c r="C15" s="66"/>
      <c r="D15" s="63">
        <v>8.5000000000000006E-3</v>
      </c>
      <c r="E15" s="63">
        <f t="shared" ref="E15:E22" si="0">($D$4/0.1)*D15</f>
        <v>8.3809999999999996E-3</v>
      </c>
      <c r="F15" s="67">
        <f t="shared" ref="F15:F22" si="1">E15*$G$24</f>
        <v>11039.491796467091</v>
      </c>
      <c r="G15" s="8"/>
      <c r="H15" s="93"/>
      <c r="I15" s="108">
        <f t="shared" ref="I15:I22" si="2">F15/$D$3</f>
        <v>299.17321941645235</v>
      </c>
      <c r="J15" s="8"/>
      <c r="K15" s="121"/>
      <c r="L15" s="91" t="s">
        <v>97</v>
      </c>
    </row>
    <row r="16" spans="1:15" ht="15" customHeight="1">
      <c r="A16" s="51"/>
      <c r="B16" s="27" t="s">
        <v>17</v>
      </c>
      <c r="C16" s="66"/>
      <c r="D16" s="63">
        <v>1.2E-2</v>
      </c>
      <c r="E16" s="63">
        <f t="shared" si="0"/>
        <v>1.1831999999999999E-2</v>
      </c>
      <c r="F16" s="67">
        <f t="shared" si="1"/>
        <v>15585.16488913001</v>
      </c>
      <c r="G16" s="8"/>
      <c r="H16" s="93"/>
      <c r="I16" s="108">
        <f t="shared" si="2"/>
        <v>422.36219211734448</v>
      </c>
      <c r="J16" s="8"/>
      <c r="K16" s="121"/>
    </row>
    <row r="17" spans="1:18" ht="29.25">
      <c r="A17" s="51"/>
      <c r="B17" s="27" t="s">
        <v>45</v>
      </c>
      <c r="C17" s="66"/>
      <c r="D17" s="63">
        <v>1.2E-2</v>
      </c>
      <c r="E17" s="63">
        <f t="shared" si="0"/>
        <v>1.1831999999999999E-2</v>
      </c>
      <c r="F17" s="67">
        <f t="shared" si="1"/>
        <v>15585.16488913001</v>
      </c>
      <c r="G17" s="8"/>
      <c r="H17" s="93"/>
      <c r="I17" s="108">
        <f t="shared" si="2"/>
        <v>422.36219211734448</v>
      </c>
      <c r="J17" s="8"/>
      <c r="K17" s="121"/>
    </row>
    <row r="18" spans="1:18" ht="15" customHeight="1">
      <c r="A18" s="51"/>
      <c r="B18" s="27" t="s">
        <v>28</v>
      </c>
      <c r="C18" s="66"/>
      <c r="D18" s="63"/>
      <c r="E18" s="63">
        <f t="shared" si="0"/>
        <v>0</v>
      </c>
      <c r="F18" s="67">
        <f t="shared" si="1"/>
        <v>0</v>
      </c>
      <c r="G18" s="8"/>
      <c r="H18" s="93"/>
      <c r="I18" s="108">
        <f t="shared" si="2"/>
        <v>0</v>
      </c>
      <c r="J18" s="8"/>
      <c r="K18" s="121"/>
    </row>
    <row r="19" spans="1:18" ht="15" customHeight="1">
      <c r="A19" s="51"/>
      <c r="B19" s="27" t="s">
        <v>113</v>
      </c>
      <c r="C19" s="66"/>
      <c r="D19" s="63">
        <v>1.2E-2</v>
      </c>
      <c r="E19" s="63">
        <f t="shared" ref="E19" si="3">($D$4/0.1)*D19</f>
        <v>1.1831999999999999E-2</v>
      </c>
      <c r="F19" s="67">
        <f t="shared" ref="F19" si="4">E19*$G$24</f>
        <v>15585.16488913001</v>
      </c>
      <c r="G19" s="8"/>
      <c r="H19" s="93"/>
      <c r="I19" s="108"/>
      <c r="J19" s="8"/>
      <c r="K19" s="121"/>
    </row>
    <row r="20" spans="1:18" ht="15" customHeight="1">
      <c r="A20" s="51"/>
      <c r="B20" s="27" t="s">
        <v>24</v>
      </c>
      <c r="C20" s="66"/>
      <c r="D20" s="63"/>
      <c r="E20" s="63">
        <f t="shared" si="0"/>
        <v>0</v>
      </c>
      <c r="F20" s="67">
        <f t="shared" si="1"/>
        <v>0</v>
      </c>
      <c r="G20" s="8"/>
      <c r="H20" s="93"/>
      <c r="I20" s="108">
        <f t="shared" si="2"/>
        <v>0</v>
      </c>
      <c r="J20" s="8"/>
      <c r="K20" s="121"/>
      <c r="M20" s="126"/>
    </row>
    <row r="21" spans="1:18" ht="15" customHeight="1">
      <c r="A21" s="51"/>
      <c r="B21" s="27" t="s">
        <v>57</v>
      </c>
      <c r="C21" s="66"/>
      <c r="D21" s="63">
        <v>4.2500000000000003E-2</v>
      </c>
      <c r="E21" s="63">
        <f t="shared" si="0"/>
        <v>4.1904999999999998E-2</v>
      </c>
      <c r="F21" s="67">
        <f t="shared" si="1"/>
        <v>55197.458982335454</v>
      </c>
      <c r="G21" s="8"/>
      <c r="H21" s="93"/>
      <c r="I21" s="108">
        <f t="shared" si="2"/>
        <v>1495.8660970822616</v>
      </c>
      <c r="J21" s="8"/>
      <c r="K21" s="121"/>
      <c r="M21" s="126"/>
    </row>
    <row r="22" spans="1:18" ht="15" customHeight="1">
      <c r="A22" s="51"/>
      <c r="B22" s="27" t="s">
        <v>50</v>
      </c>
      <c r="C22" s="66"/>
      <c r="D22" s="63">
        <v>2.5000000000000001E-2</v>
      </c>
      <c r="E22" s="63">
        <f t="shared" si="0"/>
        <v>2.4649999999999998E-2</v>
      </c>
      <c r="F22" s="67">
        <f t="shared" si="1"/>
        <v>32469.093519020855</v>
      </c>
      <c r="G22" s="8"/>
      <c r="H22" s="93"/>
      <c r="I22" s="108">
        <f t="shared" si="2"/>
        <v>879.92123357780099</v>
      </c>
      <c r="J22" s="8"/>
      <c r="K22" s="121"/>
      <c r="M22" s="126"/>
    </row>
    <row r="23" spans="1:18" ht="15" customHeight="1">
      <c r="A23" s="52"/>
      <c r="B23" s="28"/>
      <c r="C23" s="9"/>
      <c r="D23" s="14"/>
      <c r="E23" s="16"/>
      <c r="F23" s="68"/>
      <c r="G23" s="77"/>
      <c r="H23" s="93"/>
      <c r="I23" s="16"/>
      <c r="J23" s="77"/>
      <c r="M23" s="126"/>
    </row>
    <row r="24" spans="1:18" ht="15" customHeight="1">
      <c r="A24" s="50" t="s">
        <v>18</v>
      </c>
      <c r="B24" s="44" t="s">
        <v>26</v>
      </c>
      <c r="C24" s="36"/>
      <c r="D24" s="39"/>
      <c r="E24" s="38"/>
      <c r="F24" s="70">
        <f>SUM(F25:F51)</f>
        <v>1317204.6052341119</v>
      </c>
      <c r="G24" s="74">
        <f>SUM(G25:G50)</f>
        <v>1317204.6052341119</v>
      </c>
      <c r="H24" s="93"/>
      <c r="I24" s="111"/>
      <c r="J24" s="112" t="e">
        <f>SUM(I25:I44)</f>
        <v>#DIV/0!</v>
      </c>
      <c r="M24" s="126"/>
    </row>
    <row r="25" spans="1:18" ht="15" customHeight="1">
      <c r="A25" s="53">
        <v>1</v>
      </c>
      <c r="B25" s="40" t="s">
        <v>32</v>
      </c>
      <c r="C25" s="41"/>
      <c r="D25" s="42"/>
      <c r="E25" s="43"/>
      <c r="F25" s="71"/>
      <c r="G25" s="78">
        <f>SUM(F25:F29)</f>
        <v>192000</v>
      </c>
      <c r="H25" s="93"/>
      <c r="I25" s="43">
        <f>SUM(H25:H28)</f>
        <v>0</v>
      </c>
      <c r="J25" s="78">
        <f>SUM(I25:I28)</f>
        <v>3983.7398373983742</v>
      </c>
      <c r="M25" s="126"/>
    </row>
    <row r="26" spans="1:18" ht="15" customHeight="1">
      <c r="A26" s="54">
        <v>1.1000000000000001</v>
      </c>
      <c r="B26" s="30" t="s">
        <v>4</v>
      </c>
      <c r="C26" s="4">
        <v>1</v>
      </c>
      <c r="D26" s="3" t="s">
        <v>5</v>
      </c>
      <c r="E26" s="17">
        <v>10000</v>
      </c>
      <c r="F26" s="72">
        <f>SUM(E26*C26)</f>
        <v>10000</v>
      </c>
      <c r="G26" s="76"/>
      <c r="H26" s="93"/>
      <c r="I26" s="17">
        <f>E26/D3</f>
        <v>271.00271002710031</v>
      </c>
      <c r="J26" s="76"/>
      <c r="M26" s="126"/>
    </row>
    <row r="27" spans="1:18" ht="15" customHeight="1">
      <c r="A27" s="54">
        <v>1.2</v>
      </c>
      <c r="B27" s="30" t="s">
        <v>12</v>
      </c>
      <c r="C27" s="4">
        <v>20</v>
      </c>
      <c r="D27" s="3" t="s">
        <v>7</v>
      </c>
      <c r="E27" s="17">
        <v>850</v>
      </c>
      <c r="F27" s="72">
        <f>SUM(E27*C27)</f>
        <v>17000</v>
      </c>
      <c r="G27" s="76"/>
      <c r="H27" s="93"/>
      <c r="I27" s="17">
        <f>F27/D3</f>
        <v>460.70460704607046</v>
      </c>
      <c r="J27" s="76"/>
      <c r="M27" s="126"/>
    </row>
    <row r="28" spans="1:18" ht="15" customHeight="1">
      <c r="A28" s="54">
        <v>1.3</v>
      </c>
      <c r="B28" s="30" t="s">
        <v>120</v>
      </c>
      <c r="C28" s="4">
        <v>20</v>
      </c>
      <c r="D28" s="3" t="s">
        <v>7</v>
      </c>
      <c r="E28" s="17">
        <v>6000</v>
      </c>
      <c r="F28" s="72">
        <f>SUM(E28*C28)</f>
        <v>120000</v>
      </c>
      <c r="G28" s="76"/>
      <c r="H28" s="93"/>
      <c r="I28" s="17">
        <f>F28/D3</f>
        <v>3252.0325203252032</v>
      </c>
      <c r="J28" s="76"/>
      <c r="M28" s="126"/>
    </row>
    <row r="29" spans="1:18" ht="57.75">
      <c r="A29" s="54" t="s">
        <v>90</v>
      </c>
      <c r="B29" s="30" t="s">
        <v>116</v>
      </c>
      <c r="C29" s="4">
        <v>1</v>
      </c>
      <c r="D29" s="3" t="s">
        <v>5</v>
      </c>
      <c r="E29" s="17">
        <v>45000</v>
      </c>
      <c r="F29" s="72">
        <f>SUM(E29*C29)</f>
        <v>45000</v>
      </c>
      <c r="G29" s="76"/>
      <c r="H29" s="93"/>
      <c r="I29" s="17">
        <f>F29/D4</f>
        <v>456389.45233265724</v>
      </c>
      <c r="J29" s="76"/>
      <c r="M29" s="126"/>
    </row>
    <row r="30" spans="1:18" s="135" customFormat="1" ht="15" customHeight="1">
      <c r="A30" s="53">
        <v>2</v>
      </c>
      <c r="B30" s="132" t="s">
        <v>87</v>
      </c>
      <c r="C30" s="133"/>
      <c r="D30" s="42"/>
      <c r="E30" s="134"/>
      <c r="F30" s="71"/>
      <c r="G30" s="78">
        <f>SUM(F30:F33)</f>
        <v>3000</v>
      </c>
      <c r="R30" s="91"/>
    </row>
    <row r="31" spans="1:18" s="135" customFormat="1" ht="15" customHeight="1">
      <c r="A31" s="54" t="s">
        <v>59</v>
      </c>
      <c r="B31" s="27" t="s">
        <v>88</v>
      </c>
      <c r="C31" s="4"/>
      <c r="D31" s="3" t="s">
        <v>89</v>
      </c>
      <c r="E31" s="136">
        <v>2000</v>
      </c>
      <c r="F31" s="72">
        <f>SUM(E31*C31)</f>
        <v>0</v>
      </c>
      <c r="G31" s="137"/>
    </row>
    <row r="32" spans="1:18" s="135" customFormat="1" ht="15" customHeight="1">
      <c r="A32" s="54" t="s">
        <v>60</v>
      </c>
      <c r="B32" s="27" t="s">
        <v>93</v>
      </c>
      <c r="C32" s="4"/>
      <c r="D32" s="3" t="s">
        <v>89</v>
      </c>
      <c r="E32" s="136">
        <v>1000</v>
      </c>
      <c r="F32" s="72">
        <f>SUM(E32*C32)</f>
        <v>0</v>
      </c>
      <c r="G32" s="137"/>
    </row>
    <row r="33" spans="1:20" s="135" customFormat="1" ht="15" customHeight="1">
      <c r="A33" s="54" t="s">
        <v>94</v>
      </c>
      <c r="B33" s="27" t="s">
        <v>95</v>
      </c>
      <c r="C33" s="4">
        <v>1</v>
      </c>
      <c r="D33" s="3" t="s">
        <v>89</v>
      </c>
      <c r="E33" s="136">
        <v>3000</v>
      </c>
      <c r="F33" s="72">
        <f>SUM(E33*C33)</f>
        <v>3000</v>
      </c>
      <c r="G33" s="137"/>
    </row>
    <row r="34" spans="1:20" ht="15" customHeight="1">
      <c r="A34" s="53" t="s">
        <v>61</v>
      </c>
      <c r="B34" s="40" t="s">
        <v>31</v>
      </c>
      <c r="C34" s="41"/>
      <c r="D34" s="42"/>
      <c r="E34" s="43"/>
      <c r="F34" s="71"/>
      <c r="G34" s="78">
        <f>SUM(F34:F38)</f>
        <v>332989.530234112</v>
      </c>
      <c r="H34" s="93"/>
      <c r="I34" s="43"/>
      <c r="J34" s="79">
        <f>SUM(I34:I38)</f>
        <v>560</v>
      </c>
      <c r="M34" s="126"/>
      <c r="S34" s="123"/>
    </row>
    <row r="35" spans="1:20" ht="15" customHeight="1">
      <c r="A35" s="54" t="s">
        <v>62</v>
      </c>
      <c r="B35" s="30" t="s">
        <v>130</v>
      </c>
      <c r="C35" s="4">
        <v>9485</v>
      </c>
      <c r="D35" s="3" t="s">
        <v>10</v>
      </c>
      <c r="E35" s="17">
        <v>3.5</v>
      </c>
      <c r="F35" s="72">
        <f>SUM(E35*C35)</f>
        <v>33197.5</v>
      </c>
      <c r="G35" s="76"/>
      <c r="H35" s="93"/>
      <c r="I35" s="17">
        <f>10*D3*E35/D3</f>
        <v>35</v>
      </c>
      <c r="J35" s="76"/>
      <c r="M35" s="126"/>
      <c r="S35" s="123"/>
      <c r="T35" s="122"/>
    </row>
    <row r="36" spans="1:20" s="135" customFormat="1" ht="15" customHeight="1">
      <c r="A36" s="54" t="s">
        <v>64</v>
      </c>
      <c r="B36" s="30" t="s">
        <v>149</v>
      </c>
      <c r="C36" s="4">
        <v>1</v>
      </c>
      <c r="D36" s="3" t="s">
        <v>89</v>
      </c>
      <c r="E36" s="136"/>
      <c r="F36" s="72">
        <f>116884.060468224*0.5</f>
        <v>58442.030234111997</v>
      </c>
      <c r="G36" s="76"/>
      <c r="K36" s="135" t="s">
        <v>148</v>
      </c>
    </row>
    <row r="37" spans="1:20" ht="15" customHeight="1">
      <c r="A37" s="54" t="s">
        <v>39</v>
      </c>
      <c r="B37" s="30" t="s">
        <v>129</v>
      </c>
      <c r="C37" s="4">
        <f>4140-750</f>
        <v>3390</v>
      </c>
      <c r="D37" s="3" t="s">
        <v>11</v>
      </c>
      <c r="E37" s="17">
        <v>65</v>
      </c>
      <c r="F37" s="72">
        <f>SUM(E37*C37)</f>
        <v>220350</v>
      </c>
      <c r="G37" s="76"/>
      <c r="H37" s="93"/>
      <c r="I37" s="17"/>
      <c r="J37" s="76"/>
      <c r="M37" s="126"/>
      <c r="S37" s="123"/>
      <c r="T37" s="122"/>
    </row>
    <row r="38" spans="1:20" ht="15" customHeight="1">
      <c r="A38" s="54" t="s">
        <v>82</v>
      </c>
      <c r="B38" s="30" t="s">
        <v>43</v>
      </c>
      <c r="C38" s="4">
        <f>50*7*2</f>
        <v>700</v>
      </c>
      <c r="D38" s="3" t="s">
        <v>11</v>
      </c>
      <c r="E38" s="17">
        <v>30</v>
      </c>
      <c r="F38" s="72">
        <f>SUM(E38*C38)</f>
        <v>21000</v>
      </c>
      <c r="G38" s="76"/>
      <c r="H38" s="93"/>
      <c r="I38" s="17">
        <f>F38/40</f>
        <v>525</v>
      </c>
      <c r="J38" s="76"/>
      <c r="S38" s="123"/>
      <c r="T38" s="122"/>
    </row>
    <row r="39" spans="1:20" ht="15" customHeight="1">
      <c r="A39" s="53" t="s">
        <v>65</v>
      </c>
      <c r="B39" s="40" t="s">
        <v>81</v>
      </c>
      <c r="C39" s="42"/>
      <c r="D39" s="42"/>
      <c r="E39" s="43"/>
      <c r="F39" s="71"/>
      <c r="G39" s="78">
        <f>SUM(F39:F48)</f>
        <v>726715.07499999995</v>
      </c>
      <c r="H39" s="93"/>
      <c r="I39" s="43"/>
      <c r="J39" s="78" t="e">
        <f>SUM(I39:I44)</f>
        <v>#DIV/0!</v>
      </c>
      <c r="M39" s="121"/>
      <c r="S39" s="123"/>
      <c r="T39" s="122"/>
    </row>
    <row r="40" spans="1:20" ht="15" customHeight="1">
      <c r="A40" s="54" t="s">
        <v>98</v>
      </c>
      <c r="B40" s="142" t="s">
        <v>121</v>
      </c>
      <c r="C40" s="4">
        <f>13.2*36.9</f>
        <v>487.07999999999993</v>
      </c>
      <c r="D40" s="3" t="s">
        <v>10</v>
      </c>
      <c r="E40" s="17">
        <v>400</v>
      </c>
      <c r="F40" s="72">
        <f>SUM(E40*C40)</f>
        <v>194831.99999999997</v>
      </c>
      <c r="G40" s="76"/>
      <c r="H40" s="93"/>
      <c r="I40" s="17" t="e">
        <f>F40/D1</f>
        <v>#DIV/0!</v>
      </c>
      <c r="J40" s="76"/>
      <c r="S40" s="123"/>
      <c r="T40" s="122"/>
    </row>
    <row r="41" spans="1:20" ht="15" customHeight="1">
      <c r="A41" s="54" t="s">
        <v>101</v>
      </c>
      <c r="B41" s="30" t="s">
        <v>117</v>
      </c>
      <c r="C41" s="4">
        <f>C40</f>
        <v>487.07999999999993</v>
      </c>
      <c r="D41" s="3" t="s">
        <v>10</v>
      </c>
      <c r="E41" s="17">
        <v>15</v>
      </c>
      <c r="F41" s="72">
        <f>SUM(E41*C41)</f>
        <v>7306.1999999999989</v>
      </c>
      <c r="G41" s="76"/>
      <c r="H41" s="93"/>
      <c r="I41" s="17">
        <f>1.5*D3*E41/D3</f>
        <v>22.499999999999996</v>
      </c>
      <c r="J41" s="76"/>
      <c r="S41" s="123"/>
      <c r="T41" s="122"/>
    </row>
    <row r="42" spans="1:20" ht="15" customHeight="1">
      <c r="A42" s="54" t="s">
        <v>115</v>
      </c>
      <c r="B42" s="30" t="s">
        <v>127</v>
      </c>
      <c r="C42" s="4">
        <f>36*3</f>
        <v>108</v>
      </c>
      <c r="D42" s="3" t="s">
        <v>63</v>
      </c>
      <c r="E42" s="17">
        <v>2500</v>
      </c>
      <c r="F42" s="72">
        <f t="shared" ref="F42:F43" si="5">SUM(E42*C42)</f>
        <v>270000</v>
      </c>
      <c r="G42" s="76"/>
      <c r="H42" s="93"/>
      <c r="I42" s="43"/>
      <c r="J42" s="78"/>
      <c r="S42" s="123"/>
      <c r="T42" s="122"/>
    </row>
    <row r="43" spans="1:20" ht="15" customHeight="1">
      <c r="A43" s="54" t="s">
        <v>124</v>
      </c>
      <c r="B43" s="30" t="s">
        <v>128</v>
      </c>
      <c r="C43" s="4">
        <f>36*2</f>
        <v>72</v>
      </c>
      <c r="D43" s="3" t="s">
        <v>63</v>
      </c>
      <c r="E43" s="17">
        <v>700</v>
      </c>
      <c r="F43" s="72">
        <f t="shared" si="5"/>
        <v>50400</v>
      </c>
      <c r="G43" s="76"/>
      <c r="H43" s="93"/>
      <c r="I43" s="17">
        <f>F43/D3</f>
        <v>1365.8536585365855</v>
      </c>
      <c r="J43" s="76"/>
      <c r="S43" s="123"/>
      <c r="T43" s="122"/>
    </row>
    <row r="44" spans="1:20" ht="15" customHeight="1">
      <c r="A44" s="54" t="s">
        <v>126</v>
      </c>
      <c r="B44" s="30" t="s">
        <v>123</v>
      </c>
      <c r="C44" s="4">
        <f xml:space="preserve"> 29.5*2.7*0.45</f>
        <v>35.842500000000001</v>
      </c>
      <c r="D44" s="3" t="s">
        <v>11</v>
      </c>
      <c r="E44" s="17">
        <v>350</v>
      </c>
      <c r="F44" s="72">
        <f>SUM(E44*C44)</f>
        <v>12544.875</v>
      </c>
      <c r="G44" s="76"/>
      <c r="H44" s="93"/>
      <c r="I44" s="17">
        <f>F44/D3</f>
        <v>339.96951219512198</v>
      </c>
      <c r="J44" s="76"/>
      <c r="S44" s="123"/>
      <c r="T44" s="122"/>
    </row>
    <row r="45" spans="1:20" ht="15" customHeight="1">
      <c r="A45" s="54" t="s">
        <v>136</v>
      </c>
      <c r="B45" s="30" t="s">
        <v>118</v>
      </c>
      <c r="C45" s="4">
        <f>C42*2</f>
        <v>216</v>
      </c>
      <c r="D45" s="3" t="s">
        <v>63</v>
      </c>
      <c r="E45" s="17">
        <v>115</v>
      </c>
      <c r="F45" s="72">
        <f>SUM(E45*C45)</f>
        <v>24840</v>
      </c>
      <c r="G45" s="76"/>
      <c r="H45" s="93"/>
      <c r="I45" s="17"/>
      <c r="J45" s="76"/>
      <c r="S45" s="123"/>
      <c r="T45" s="122"/>
    </row>
    <row r="46" spans="1:20" ht="15" customHeight="1">
      <c r="A46" s="54" t="s">
        <v>137</v>
      </c>
      <c r="B46" s="30" t="s">
        <v>119</v>
      </c>
      <c r="C46" s="4">
        <f>2*6*14</f>
        <v>168</v>
      </c>
      <c r="D46" s="3" t="s">
        <v>10</v>
      </c>
      <c r="E46" s="17">
        <v>400</v>
      </c>
      <c r="F46" s="72">
        <f>SUM(E46*C46)</f>
        <v>67200</v>
      </c>
      <c r="G46" s="76"/>
      <c r="H46" s="93"/>
      <c r="I46" s="17"/>
      <c r="J46" s="76"/>
      <c r="S46" s="123"/>
      <c r="T46" s="122"/>
    </row>
    <row r="47" spans="1:20" ht="15" customHeight="1">
      <c r="A47" s="54" t="s">
        <v>138</v>
      </c>
      <c r="B47" s="30" t="s">
        <v>114</v>
      </c>
      <c r="C47" s="4">
        <f>2*((8*3.6)+(2.4*7.1))</f>
        <v>91.68</v>
      </c>
      <c r="D47" s="3" t="s">
        <v>10</v>
      </c>
      <c r="E47" s="17">
        <v>650</v>
      </c>
      <c r="F47" s="72">
        <f>SUM(E47*C47)</f>
        <v>59592.000000000007</v>
      </c>
      <c r="G47" s="76"/>
      <c r="H47" s="93"/>
      <c r="I47" s="17"/>
      <c r="J47" s="76"/>
      <c r="S47" s="123"/>
      <c r="T47" s="122"/>
    </row>
    <row r="48" spans="1:20" ht="15" customHeight="1">
      <c r="A48" s="54" t="s">
        <v>139</v>
      </c>
      <c r="B48" s="30" t="s">
        <v>83</v>
      </c>
      <c r="C48" s="4">
        <f>2*10*20</f>
        <v>400</v>
      </c>
      <c r="D48" s="3" t="s">
        <v>10</v>
      </c>
      <c r="E48" s="17">
        <v>100</v>
      </c>
      <c r="F48" s="72">
        <f>SUM(E48*C48)</f>
        <v>40000</v>
      </c>
      <c r="G48" s="76"/>
      <c r="H48" s="93"/>
      <c r="I48" s="17"/>
      <c r="J48" s="76"/>
      <c r="S48" s="123"/>
      <c r="T48" s="122"/>
    </row>
    <row r="49" spans="1:20" ht="15" customHeight="1">
      <c r="A49" s="53" t="s">
        <v>140</v>
      </c>
      <c r="B49" s="40" t="s">
        <v>9</v>
      </c>
      <c r="C49" s="41"/>
      <c r="D49" s="42"/>
      <c r="E49" s="43"/>
      <c r="F49" s="71"/>
      <c r="G49" s="79">
        <f>SUM(F49:F51)</f>
        <v>62500</v>
      </c>
      <c r="H49" s="93"/>
      <c r="I49" s="43"/>
      <c r="J49" s="78"/>
    </row>
    <row r="50" spans="1:20" ht="15" customHeight="1">
      <c r="A50" s="54" t="s">
        <v>141</v>
      </c>
      <c r="B50" s="30" t="s">
        <v>105</v>
      </c>
      <c r="C50" s="4"/>
      <c r="D50" s="3" t="s">
        <v>99</v>
      </c>
      <c r="E50" s="17">
        <v>3400</v>
      </c>
      <c r="F50" s="72">
        <f>SUM(E50*C50)</f>
        <v>0</v>
      </c>
      <c r="G50" s="76"/>
      <c r="H50" s="93"/>
      <c r="I50" s="17" t="e">
        <f>F50/D9</f>
        <v>#DIV/0!</v>
      </c>
      <c r="J50" s="76"/>
      <c r="S50" s="123"/>
      <c r="T50" s="122"/>
    </row>
    <row r="51" spans="1:20" ht="15" customHeight="1">
      <c r="A51" s="54" t="s">
        <v>142</v>
      </c>
      <c r="B51" s="30" t="s">
        <v>133</v>
      </c>
      <c r="C51" s="4">
        <f>2*25</f>
        <v>50</v>
      </c>
      <c r="D51" s="3" t="s">
        <v>63</v>
      </c>
      <c r="E51" s="17">
        <v>1250</v>
      </c>
      <c r="F51" s="72">
        <f>SUM(E51*C51)</f>
        <v>62500</v>
      </c>
      <c r="G51" s="76"/>
      <c r="H51" s="93"/>
      <c r="I51" s="17" t="e">
        <f>F51/D10</f>
        <v>#DIV/0!</v>
      </c>
      <c r="J51" s="76"/>
      <c r="S51" s="123"/>
      <c r="T51" s="122"/>
    </row>
    <row r="52" spans="1:20" ht="15" customHeight="1">
      <c r="A52" s="54" t="s">
        <v>143</v>
      </c>
      <c r="B52" s="30" t="s">
        <v>122</v>
      </c>
      <c r="C52" s="4">
        <v>4</v>
      </c>
      <c r="D52" s="3" t="s">
        <v>89</v>
      </c>
      <c r="E52" s="17">
        <v>8500</v>
      </c>
      <c r="F52" s="72">
        <f>SUM(E52*C52)</f>
        <v>34000</v>
      </c>
      <c r="G52" s="76"/>
      <c r="H52" s="93"/>
      <c r="I52" s="17"/>
      <c r="J52" s="76"/>
      <c r="S52" s="123"/>
      <c r="T52" s="122"/>
    </row>
    <row r="53" spans="1:20" ht="15" customHeight="1">
      <c r="A53" s="54" t="s">
        <v>144</v>
      </c>
      <c r="B53" s="30" t="s">
        <v>125</v>
      </c>
      <c r="C53" s="4">
        <f>4*10</f>
        <v>40</v>
      </c>
      <c r="D53" s="3" t="s">
        <v>63</v>
      </c>
      <c r="E53" s="17">
        <v>155</v>
      </c>
      <c r="F53" s="72">
        <f>SUM(E53*C53)</f>
        <v>6200</v>
      </c>
      <c r="G53" s="76"/>
      <c r="H53" s="93"/>
      <c r="I53" s="17"/>
      <c r="J53" s="76"/>
      <c r="S53" s="123"/>
      <c r="T53" s="122"/>
    </row>
    <row r="54" spans="1:20" ht="15" customHeight="1">
      <c r="A54" s="54" t="s">
        <v>145</v>
      </c>
      <c r="B54" s="30" t="s">
        <v>134</v>
      </c>
      <c r="C54" s="4">
        <v>120</v>
      </c>
      <c r="D54" s="3" t="s">
        <v>63</v>
      </c>
      <c r="E54" s="17">
        <v>200</v>
      </c>
      <c r="F54" s="72">
        <f>SUM(E54*C54)</f>
        <v>24000</v>
      </c>
      <c r="G54" s="76"/>
      <c r="H54" s="93"/>
      <c r="I54" s="17" t="e">
        <f>F54/D11</f>
        <v>#DIV/0!</v>
      </c>
      <c r="J54" s="76"/>
      <c r="S54" s="123"/>
      <c r="T54" s="122"/>
    </row>
    <row r="55" spans="1:20" ht="15" customHeight="1">
      <c r="A55" s="55"/>
      <c r="B55" s="45" t="s">
        <v>46</v>
      </c>
      <c r="C55" s="46"/>
      <c r="D55" s="47"/>
      <c r="E55" s="48"/>
      <c r="F55" s="73">
        <f>SUM(F7:F12,F15:F22,F26:F51)</f>
        <v>1527604.3312373671</v>
      </c>
      <c r="G55" s="80">
        <f>SUM(G24+G14+G6)</f>
        <v>1527604.3312373669</v>
      </c>
      <c r="H55" s="93"/>
      <c r="I55" s="73" t="e">
        <f>SUM(I25:I44,I15:I22,I7:I12)</f>
        <v>#DIV/0!</v>
      </c>
      <c r="J55" s="80" t="e">
        <f>SUM(J24+J14+J6)</f>
        <v>#DIV/0!</v>
      </c>
    </row>
    <row r="56" spans="1:20" ht="15" customHeight="1">
      <c r="H56" s="93"/>
      <c r="J56" s="15"/>
    </row>
    <row r="57" spans="1:20" ht="15" customHeight="1">
      <c r="A57" s="50" t="s">
        <v>19</v>
      </c>
      <c r="B57" s="35" t="s">
        <v>29</v>
      </c>
      <c r="C57" s="36"/>
      <c r="D57" s="37"/>
      <c r="E57" s="38"/>
      <c r="F57" s="39"/>
      <c r="G57" s="74"/>
      <c r="H57" s="93"/>
      <c r="I57" s="39"/>
      <c r="J57" s="38"/>
    </row>
    <row r="58" spans="1:20" ht="15" customHeight="1">
      <c r="A58" s="54"/>
      <c r="B58" s="31" t="s">
        <v>49</v>
      </c>
      <c r="C58" s="4"/>
      <c r="D58" s="3"/>
      <c r="E58" s="17"/>
      <c r="F58" s="6">
        <v>0.2</v>
      </c>
      <c r="G58" s="75">
        <f>G55*F58</f>
        <v>305520.8662474734</v>
      </c>
      <c r="H58" s="93"/>
      <c r="I58" s="6">
        <v>0.2</v>
      </c>
      <c r="J58" s="75" t="e">
        <f>J55*I58</f>
        <v>#DIV/0!</v>
      </c>
    </row>
    <row r="59" spans="1:20" ht="15" customHeight="1">
      <c r="A59" s="145"/>
      <c r="B59" s="146" t="s">
        <v>48</v>
      </c>
      <c r="C59" s="147"/>
      <c r="D59" s="148"/>
      <c r="E59" s="149"/>
      <c r="F59" s="150"/>
      <c r="G59" s="151">
        <f>SUM(G55:G58)</f>
        <v>1833125.1974848402</v>
      </c>
      <c r="H59" s="93"/>
      <c r="I59" s="10"/>
      <c r="J59" s="144"/>
    </row>
    <row r="60" spans="1:20" ht="15" customHeight="1">
      <c r="A60" s="56" t="s">
        <v>20</v>
      </c>
      <c r="B60" s="32" t="s">
        <v>30</v>
      </c>
      <c r="C60" s="88"/>
      <c r="D60" s="12"/>
      <c r="E60" s="18"/>
      <c r="F60" s="13"/>
      <c r="G60" s="81"/>
      <c r="H60" s="93"/>
      <c r="I60" s="13"/>
      <c r="J60" s="18"/>
    </row>
    <row r="61" spans="1:20" ht="15" customHeight="1">
      <c r="A61" s="54"/>
      <c r="B61" s="91"/>
      <c r="C61" s="89"/>
      <c r="D61" s="3"/>
      <c r="E61" s="17"/>
      <c r="F61" s="33"/>
      <c r="G61" s="75">
        <f>G59</f>
        <v>1833125.1974848402</v>
      </c>
      <c r="H61" s="93"/>
      <c r="I61" s="33"/>
      <c r="J61" s="75" t="e">
        <f>J58+I55</f>
        <v>#DIV/0!</v>
      </c>
    </row>
    <row r="62" spans="1:20" ht="15" customHeight="1">
      <c r="A62" s="52"/>
      <c r="B62" s="28"/>
      <c r="C62" s="90"/>
      <c r="D62" s="14"/>
      <c r="E62" s="16"/>
      <c r="F62" s="10"/>
      <c r="G62" s="29"/>
      <c r="H62" s="29"/>
      <c r="I62" s="10"/>
      <c r="J62" s="10"/>
    </row>
    <row r="63" spans="1:20" ht="15" customHeight="1">
      <c r="A63" s="103" t="s">
        <v>66</v>
      </c>
      <c r="B63" s="104" t="s">
        <v>67</v>
      </c>
      <c r="C63" s="87"/>
      <c r="H63" s="93"/>
    </row>
    <row r="64" spans="1:20" ht="15" customHeight="1">
      <c r="A64" s="105" t="s">
        <v>68</v>
      </c>
      <c r="B64" s="159" t="s">
        <v>69</v>
      </c>
      <c r="C64" s="159"/>
      <c r="D64" s="159"/>
      <c r="E64" s="159"/>
      <c r="F64" s="83"/>
      <c r="H64" s="93"/>
      <c r="I64" s="83"/>
      <c r="J64" s="83"/>
    </row>
    <row r="65" spans="1:20" s="22" customFormat="1" ht="15" customHeight="1">
      <c r="A65" s="1"/>
      <c r="B65" s="106" t="s">
        <v>70</v>
      </c>
      <c r="C65" s="87"/>
      <c r="D65" s="2"/>
      <c r="E65" s="15"/>
      <c r="G65" s="20"/>
      <c r="H65" s="93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1:20" s="22" customFormat="1" ht="15" customHeight="1">
      <c r="A66" s="105" t="s">
        <v>58</v>
      </c>
      <c r="B66" s="1" t="s">
        <v>104</v>
      </c>
      <c r="C66" s="87"/>
      <c r="D66" s="82"/>
      <c r="E66" s="82"/>
      <c r="G66" s="20"/>
      <c r="H66" s="93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1:20" s="22" customFormat="1" ht="15" customHeight="1">
      <c r="A67" s="105"/>
      <c r="B67" s="143" t="s">
        <v>31</v>
      </c>
      <c r="C67" s="87"/>
      <c r="D67" s="82"/>
      <c r="E67" s="82"/>
      <c r="G67" s="20"/>
      <c r="H67" s="93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1:20" s="22" customFormat="1" ht="15" customHeight="1">
      <c r="A68" s="105" t="s">
        <v>61</v>
      </c>
      <c r="B68" s="1" t="s">
        <v>132</v>
      </c>
      <c r="C68" s="87"/>
      <c r="D68" s="82"/>
      <c r="E68" s="82"/>
      <c r="G68" s="20"/>
      <c r="H68" s="93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1:20" s="22" customFormat="1" ht="15" customHeight="1">
      <c r="A69" s="1"/>
      <c r="B69" s="106" t="s">
        <v>8</v>
      </c>
      <c r="C69" s="87"/>
      <c r="D69" s="82"/>
      <c r="E69" s="82"/>
      <c r="G69" s="20"/>
      <c r="H69" s="93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1:20" s="22" customFormat="1" ht="15" customHeight="1">
      <c r="A70" s="105">
        <v>4</v>
      </c>
      <c r="B70" s="1" t="s">
        <v>85</v>
      </c>
      <c r="C70" s="87"/>
      <c r="D70" s="82"/>
      <c r="E70" s="82"/>
      <c r="G70" s="20"/>
      <c r="H70" s="93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1:20" s="22" customFormat="1" ht="15" customHeight="1">
      <c r="A71" s="105">
        <v>5</v>
      </c>
      <c r="B71" s="1" t="s">
        <v>86</v>
      </c>
      <c r="C71" s="87"/>
      <c r="D71" s="82"/>
      <c r="E71" s="82"/>
      <c r="G71" s="20"/>
      <c r="H71" s="93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1:20" s="22" customFormat="1" ht="15" customHeight="1">
      <c r="A72" s="105" t="s">
        <v>84</v>
      </c>
      <c r="B72" s="1" t="s">
        <v>100</v>
      </c>
      <c r="C72" s="87"/>
      <c r="D72" s="82"/>
      <c r="E72" s="82"/>
      <c r="G72" s="20"/>
      <c r="H72" s="93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1:20" ht="12.75">
      <c r="A73" s="58" t="s">
        <v>41</v>
      </c>
      <c r="B73" s="59" t="s">
        <v>135</v>
      </c>
      <c r="C73" s="7"/>
      <c r="D73" s="7"/>
      <c r="E73" s="7"/>
      <c r="F73" s="91"/>
      <c r="G73" s="91"/>
      <c r="H73" s="91"/>
      <c r="I73" s="91"/>
      <c r="J73" s="91"/>
    </row>
    <row r="74" spans="1:20" s="22" customFormat="1" ht="15" customHeight="1">
      <c r="A74" s="58" t="s">
        <v>40</v>
      </c>
      <c r="B74" s="85">
        <f ca="1">NOW()</f>
        <v>42138.488978703703</v>
      </c>
      <c r="C74" s="87"/>
      <c r="D74" s="82"/>
      <c r="E74" s="82"/>
      <c r="G74" s="20"/>
      <c r="H74" s="93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1:20" s="22" customFormat="1" ht="15" customHeight="1">
      <c r="A75" s="84"/>
      <c r="B75" s="11"/>
      <c r="C75" s="87"/>
      <c r="D75" s="82"/>
      <c r="E75" s="82"/>
      <c r="G75" s="20"/>
      <c r="H75" s="20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1:20" s="22" customFormat="1" ht="15" customHeight="1">
      <c r="A76" s="58" t="s">
        <v>42</v>
      </c>
      <c r="B76" s="59"/>
      <c r="C76" s="87"/>
      <c r="D76" s="82"/>
      <c r="E76" s="82"/>
      <c r="G76" s="20"/>
      <c r="H76" s="20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1:20" s="22" customFormat="1" ht="15" customHeight="1">
      <c r="A77" s="58" t="s">
        <v>40</v>
      </c>
      <c r="B77" s="85">
        <f ca="1">NOW()</f>
        <v>42138.488978703703</v>
      </c>
      <c r="C77" s="87"/>
      <c r="D77" s="82"/>
      <c r="E77" s="82"/>
      <c r="G77" s="20"/>
      <c r="H77" s="20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1:20" s="22" customFormat="1" ht="15" customHeight="1">
      <c r="A78" s="60"/>
      <c r="B78" s="34"/>
      <c r="C78" s="87"/>
      <c r="D78" s="82"/>
      <c r="E78" s="82"/>
      <c r="G78" s="20"/>
      <c r="H78" s="20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1:20" s="22" customFormat="1" ht="15" customHeight="1">
      <c r="A79" s="60"/>
      <c r="B79" s="34"/>
      <c r="C79" s="87"/>
      <c r="D79" s="82"/>
      <c r="E79" s="82"/>
      <c r="G79" s="20"/>
      <c r="H79" s="20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1:20" s="22" customFormat="1" ht="15" customHeight="1">
      <c r="A80" s="60"/>
      <c r="B80" s="34"/>
      <c r="C80" s="87"/>
      <c r="D80" s="82"/>
      <c r="E80" s="82"/>
      <c r="G80" s="20"/>
      <c r="H80" s="20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1:20" s="22" customFormat="1" ht="15" customHeight="1">
      <c r="A81" s="60"/>
      <c r="B81" s="34"/>
      <c r="C81" s="87"/>
      <c r="D81" s="82"/>
      <c r="E81" s="82"/>
      <c r="G81" s="20"/>
      <c r="H81" s="20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:20" s="22" customFormat="1" ht="15" customHeight="1">
      <c r="A82" s="60"/>
      <c r="B82" s="34"/>
      <c r="C82" s="87"/>
      <c r="D82" s="82"/>
      <c r="E82" s="82"/>
      <c r="G82" s="20"/>
      <c r="H82" s="20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1:20" s="22" customFormat="1" ht="15" customHeight="1">
      <c r="A83" s="60"/>
      <c r="B83" s="60"/>
      <c r="C83" s="60"/>
      <c r="D83" s="60"/>
      <c r="E83" s="60"/>
      <c r="G83" s="20"/>
      <c r="H83" s="20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1:20" s="22" customFormat="1" ht="15" customHeight="1">
      <c r="A84" s="60"/>
      <c r="B84" s="60"/>
      <c r="C84" s="60"/>
      <c r="D84" s="60"/>
      <c r="E84" s="60"/>
      <c r="G84" s="20"/>
      <c r="H84" s="20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1:20" s="22" customFormat="1" ht="15" customHeight="1">
      <c r="A85" s="60"/>
      <c r="B85" s="60"/>
      <c r="C85" s="60"/>
      <c r="D85" s="60"/>
      <c r="E85" s="60"/>
      <c r="G85" s="20"/>
      <c r="H85" s="20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1:20" s="22" customFormat="1" ht="15" customHeight="1">
      <c r="A86" s="60"/>
      <c r="B86" s="60"/>
      <c r="C86" s="60"/>
      <c r="D86" s="60"/>
      <c r="E86" s="60"/>
      <c r="G86" s="20"/>
      <c r="H86" s="20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1:20" s="22" customFormat="1" ht="15" customHeight="1">
      <c r="A87" s="60"/>
      <c r="B87" s="60"/>
      <c r="C87" s="60"/>
      <c r="D87" s="60"/>
      <c r="E87" s="60"/>
      <c r="G87" s="20"/>
      <c r="H87" s="20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1:20" s="22" customFormat="1" ht="15" customHeight="1">
      <c r="A88" s="60"/>
      <c r="B88" s="60"/>
      <c r="C88" s="60"/>
      <c r="D88" s="60"/>
      <c r="E88" s="60"/>
      <c r="G88" s="20"/>
      <c r="H88" s="20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1:20" s="22" customFormat="1" ht="15" customHeight="1">
      <c r="A89" s="60"/>
      <c r="B89" s="60"/>
      <c r="C89" s="60"/>
      <c r="D89" s="60"/>
      <c r="E89" s="60"/>
      <c r="G89" s="20"/>
      <c r="H89" s="20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1:20" s="22" customFormat="1" ht="15" customHeight="1">
      <c r="A90" s="60"/>
      <c r="B90" s="60"/>
      <c r="C90" s="60"/>
      <c r="D90" s="60"/>
      <c r="E90" s="60"/>
      <c r="G90" s="20"/>
      <c r="H90" s="20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1:20" s="22" customFormat="1" ht="15" customHeight="1">
      <c r="A91" s="60"/>
      <c r="B91" s="60"/>
      <c r="C91" s="60"/>
      <c r="D91" s="60"/>
      <c r="E91" s="60"/>
      <c r="G91" s="20"/>
      <c r="H91" s="20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1:20" ht="15" customHeight="1">
      <c r="A92" s="60"/>
      <c r="B92" s="60"/>
      <c r="C92" s="60"/>
      <c r="D92" s="60"/>
      <c r="E92" s="60"/>
    </row>
    <row r="93" spans="1:20" ht="15" customHeight="1">
      <c r="A93" s="60"/>
      <c r="B93" s="60"/>
      <c r="C93" s="60"/>
      <c r="D93" s="60"/>
      <c r="E93" s="60"/>
    </row>
  </sheetData>
  <mergeCells count="1">
    <mergeCell ref="B64:E64"/>
  </mergeCells>
  <conditionalFormatting sqref="I55 F55">
    <cfRule type="expression" dxfId="2" priority="2">
      <formula>$F$101&lt;&gt;$G$101</formula>
    </cfRule>
  </conditionalFormatting>
  <conditionalFormatting sqref="F24">
    <cfRule type="expression" dxfId="1" priority="1">
      <formula>$F$24&lt;&gt;$G$24</formula>
    </cfRule>
  </conditionalFormatting>
  <pageMargins left="0.59055118110236227" right="0.59055118110236227" top="0.9055118110236221" bottom="0.74803149606299213" header="0.31496062992125984" footer="0.31496062992125984"/>
  <pageSetup paperSize="9" scale="58" orientation="portrait" r:id="rId1"/>
  <headerFooter scaleWithDoc="0">
    <oddHeader>&amp;L&amp;A
&amp;R&amp;G</oddHeader>
    <oddFooter>&amp;L&amp;"Arial,Regular"&amp;9&amp;Z&amp;F
&amp;D&amp;R&amp;"Arial,Regular"&amp;9Page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zoomScale="60" zoomScaleNormal="100" zoomScalePageLayoutView="130" workbookViewId="0">
      <selection activeCell="E3" sqref="E3"/>
    </sheetView>
  </sheetViews>
  <sheetFormatPr defaultRowHeight="15" customHeight="1"/>
  <cols>
    <col min="1" max="1" width="9.7109375" style="57" customWidth="1"/>
    <col min="2" max="2" width="54" style="34" customWidth="1"/>
    <col min="3" max="3" width="12.7109375" style="82" customWidth="1"/>
    <col min="4" max="4" width="14.5703125" style="2" bestFit="1" customWidth="1"/>
    <col min="5" max="5" width="14.140625" style="15" customWidth="1"/>
    <col min="6" max="6" width="13.42578125" style="22" customWidth="1"/>
    <col min="7" max="7" width="23.42578125" style="20" customWidth="1"/>
    <col min="8" max="8" width="2.140625" style="20" hidden="1" customWidth="1"/>
    <col min="9" max="9" width="11.7109375" style="22" hidden="1" customWidth="1"/>
    <col min="10" max="10" width="16.140625" style="22" hidden="1" customWidth="1"/>
    <col min="11" max="11" width="10.5703125" style="91" bestFit="1" customWidth="1"/>
    <col min="12" max="12" width="17.42578125" style="91" bestFit="1" customWidth="1"/>
    <col min="13" max="14" width="10" style="91" bestFit="1" customWidth="1"/>
    <col min="15" max="15" width="17.42578125" style="91" bestFit="1" customWidth="1"/>
    <col min="16" max="16" width="12.5703125" style="91" bestFit="1" customWidth="1"/>
    <col min="17" max="16384" width="9.140625" style="91"/>
  </cols>
  <sheetData>
    <row r="1" spans="1:15" ht="15" customHeight="1">
      <c r="A1" s="92" t="s">
        <v>33</v>
      </c>
      <c r="B1" s="19"/>
      <c r="C1" s="140"/>
      <c r="G1" s="93">
        <f ca="1">Summary!A6</f>
        <v>42138.488978703703</v>
      </c>
      <c r="H1" s="93"/>
      <c r="L1" s="118" t="s">
        <v>78</v>
      </c>
      <c r="O1" s="117"/>
    </row>
    <row r="2" spans="1:15" ht="15" customHeight="1">
      <c r="A2" s="94" t="str">
        <f>Summary!A4</f>
        <v>CG140690</v>
      </c>
      <c r="B2" s="21"/>
      <c r="G2" s="93" t="str">
        <f>Summary!A7</f>
        <v>Version 4</v>
      </c>
      <c r="H2" s="93"/>
      <c r="L2" s="118" t="s">
        <v>76</v>
      </c>
      <c r="O2" s="117"/>
    </row>
    <row r="3" spans="1:15" ht="15" customHeight="1">
      <c r="A3" s="94" t="str">
        <f>Summary!D11</f>
        <v>Koukoura Drive</v>
      </c>
      <c r="B3" s="23"/>
      <c r="C3" s="64" t="s">
        <v>51</v>
      </c>
      <c r="D3" s="95">
        <v>29.6</v>
      </c>
      <c r="F3" s="23"/>
      <c r="G3" s="23"/>
      <c r="H3" s="93"/>
      <c r="I3" s="23"/>
      <c r="J3" s="23"/>
      <c r="L3" s="119" t="s">
        <v>71</v>
      </c>
      <c r="M3" s="125"/>
      <c r="O3" s="117"/>
    </row>
    <row r="4" spans="1:15" ht="15" customHeight="1">
      <c r="A4" s="96" t="str">
        <f>Summary!D10</f>
        <v>CL-1003</v>
      </c>
      <c r="B4" s="23"/>
      <c r="C4" s="64" t="s">
        <v>47</v>
      </c>
      <c r="D4" s="124">
        <v>0.1037</v>
      </c>
      <c r="F4" s="23"/>
      <c r="G4" s="23"/>
      <c r="H4" s="93"/>
      <c r="I4" s="113" t="s">
        <v>52</v>
      </c>
      <c r="J4" s="114"/>
      <c r="L4" s="119" t="s">
        <v>72</v>
      </c>
      <c r="M4" s="125"/>
    </row>
    <row r="5" spans="1:15" ht="15" customHeight="1">
      <c r="A5" s="49" t="s">
        <v>0</v>
      </c>
      <c r="B5" s="24" t="s">
        <v>34</v>
      </c>
      <c r="C5" s="24" t="s">
        <v>38</v>
      </c>
      <c r="D5" s="24" t="s">
        <v>1</v>
      </c>
      <c r="E5" s="25" t="s">
        <v>2</v>
      </c>
      <c r="F5" s="24" t="s">
        <v>3</v>
      </c>
      <c r="G5" s="86" t="s">
        <v>35</v>
      </c>
      <c r="H5" s="93"/>
      <c r="I5" s="25" t="s">
        <v>55</v>
      </c>
      <c r="J5" s="86" t="s">
        <v>56</v>
      </c>
      <c r="L5" s="119" t="s">
        <v>73</v>
      </c>
      <c r="M5" s="125"/>
    </row>
    <row r="6" spans="1:15" ht="15" customHeight="1">
      <c r="A6" s="50" t="s">
        <v>13</v>
      </c>
      <c r="B6" s="35" t="s">
        <v>53</v>
      </c>
      <c r="C6" s="36"/>
      <c r="D6" s="37"/>
      <c r="E6" s="38"/>
      <c r="F6" s="39"/>
      <c r="G6" s="74">
        <f>SUM(F6:F13)</f>
        <v>45573.885578632995</v>
      </c>
      <c r="H6" s="93"/>
      <c r="I6" s="38"/>
      <c r="J6" s="74">
        <f>SUM(I7:I12)</f>
        <v>1539.6582965754392</v>
      </c>
      <c r="L6" s="119" t="s">
        <v>80</v>
      </c>
      <c r="O6" s="118"/>
    </row>
    <row r="7" spans="1:15" ht="15" customHeight="1">
      <c r="A7" s="51"/>
      <c r="B7" s="26" t="s">
        <v>14</v>
      </c>
      <c r="C7" s="5"/>
      <c r="D7" s="65">
        <v>0.03</v>
      </c>
      <c r="E7" s="63">
        <f>($D$4/0.1)*D7</f>
        <v>3.1109999999999995E-2</v>
      </c>
      <c r="F7" s="67">
        <f>E7*$G$24</f>
        <v>27344.331347179799</v>
      </c>
      <c r="G7" s="8"/>
      <c r="H7" s="93"/>
      <c r="I7" s="108">
        <f>F7/$D$3</f>
        <v>923.79497794526344</v>
      </c>
      <c r="J7" s="8"/>
      <c r="K7" s="121"/>
      <c r="L7" s="118" t="s">
        <v>77</v>
      </c>
    </row>
    <row r="8" spans="1:15" ht="15" customHeight="1">
      <c r="A8" s="51"/>
      <c r="B8" s="27" t="s">
        <v>21</v>
      </c>
      <c r="C8" s="5"/>
      <c r="D8" s="63"/>
      <c r="E8" s="63"/>
      <c r="F8" s="67"/>
      <c r="G8" s="8"/>
      <c r="H8" s="93"/>
      <c r="I8" s="108" t="s">
        <v>102</v>
      </c>
      <c r="J8" s="8"/>
      <c r="L8" s="91" t="s">
        <v>74</v>
      </c>
    </row>
    <row r="9" spans="1:15" ht="15" customHeight="1">
      <c r="A9" s="51"/>
      <c r="B9" s="27" t="s">
        <v>27</v>
      </c>
      <c r="C9" s="5"/>
      <c r="D9" s="63"/>
      <c r="E9" s="63"/>
      <c r="F9" s="67"/>
      <c r="G9" s="8"/>
      <c r="H9" s="93"/>
      <c r="I9" s="108"/>
      <c r="J9" s="8"/>
      <c r="L9" s="91" t="s">
        <v>75</v>
      </c>
    </row>
    <row r="10" spans="1:15" ht="15" customHeight="1">
      <c r="A10" s="51"/>
      <c r="B10" s="27" t="s">
        <v>22</v>
      </c>
      <c r="C10" s="5"/>
      <c r="D10" s="63"/>
      <c r="E10" s="63"/>
      <c r="F10" s="67"/>
      <c r="G10" s="8"/>
      <c r="H10" s="93"/>
      <c r="I10" s="108"/>
      <c r="J10" s="8"/>
      <c r="L10" s="91" t="s">
        <v>79</v>
      </c>
    </row>
    <row r="11" spans="1:15" ht="15" customHeight="1">
      <c r="A11" s="51"/>
      <c r="B11" s="27" t="s">
        <v>23</v>
      </c>
      <c r="C11" s="5"/>
      <c r="D11" s="63"/>
      <c r="E11" s="63"/>
      <c r="F11" s="67"/>
      <c r="G11" s="8"/>
      <c r="H11" s="93"/>
      <c r="I11" s="108"/>
      <c r="J11" s="8"/>
    </row>
    <row r="12" spans="1:15" ht="15" customHeight="1">
      <c r="A12" s="51"/>
      <c r="B12" s="26" t="s">
        <v>15</v>
      </c>
      <c r="C12" s="5"/>
      <c r="D12" s="65">
        <v>0.02</v>
      </c>
      <c r="E12" s="65">
        <f>($D$4/0.1)*D12</f>
        <v>2.0739999999999998E-2</v>
      </c>
      <c r="F12" s="67">
        <f>E12*$G$24</f>
        <v>18229.554231453199</v>
      </c>
      <c r="G12" s="8"/>
      <c r="H12" s="93"/>
      <c r="I12" s="108">
        <f>F12/$D$3</f>
        <v>615.86331863017563</v>
      </c>
      <c r="J12" s="8"/>
      <c r="K12" s="121"/>
      <c r="L12" s="118" t="s">
        <v>91</v>
      </c>
      <c r="M12" s="120"/>
      <c r="O12" s="118"/>
    </row>
    <row r="13" spans="1:15" ht="15" customHeight="1">
      <c r="A13" s="52"/>
      <c r="B13" s="28"/>
      <c r="C13" s="9"/>
      <c r="D13" s="61"/>
      <c r="E13" s="61"/>
      <c r="F13" s="68"/>
      <c r="G13" s="29"/>
      <c r="H13" s="93"/>
      <c r="I13" s="109"/>
      <c r="J13" s="29"/>
      <c r="L13" s="91" t="s">
        <v>92</v>
      </c>
      <c r="M13" s="138"/>
    </row>
    <row r="14" spans="1:15" ht="15" customHeight="1">
      <c r="A14" s="50" t="s">
        <v>16</v>
      </c>
      <c r="B14" s="44" t="s">
        <v>54</v>
      </c>
      <c r="C14" s="36"/>
      <c r="D14" s="62"/>
      <c r="E14" s="62"/>
      <c r="F14" s="69"/>
      <c r="G14" s="74">
        <f>SUM(F14:F23)</f>
        <v>102085.50369613792</v>
      </c>
      <c r="H14" s="93"/>
      <c r="I14" s="110"/>
      <c r="J14" s="74">
        <f>SUM(I15:I22)</f>
        <v>3079.3165931508784</v>
      </c>
      <c r="L14" s="91" t="s">
        <v>96</v>
      </c>
    </row>
    <row r="15" spans="1:15" ht="15" customHeight="1">
      <c r="A15" s="51"/>
      <c r="B15" s="27" t="s">
        <v>25</v>
      </c>
      <c r="C15" s="66"/>
      <c r="D15" s="63">
        <v>8.5000000000000006E-3</v>
      </c>
      <c r="E15" s="63">
        <f t="shared" ref="E15:E22" si="0">($D$4/0.1)*D15</f>
        <v>8.8144999999999994E-3</v>
      </c>
      <c r="F15" s="67">
        <f t="shared" ref="F15:F22" si="1">E15*$G$24</f>
        <v>7747.56054836761</v>
      </c>
      <c r="G15" s="8"/>
      <c r="H15" s="93"/>
      <c r="I15" s="108">
        <f t="shared" ref="I15:I22" si="2">F15/$D$3</f>
        <v>261.74191041782467</v>
      </c>
      <c r="J15" s="8"/>
      <c r="K15" s="121"/>
      <c r="L15" s="91" t="s">
        <v>97</v>
      </c>
    </row>
    <row r="16" spans="1:15" ht="15" customHeight="1">
      <c r="A16" s="51"/>
      <c r="B16" s="27" t="s">
        <v>17</v>
      </c>
      <c r="C16" s="66"/>
      <c r="D16" s="63">
        <v>1.2E-2</v>
      </c>
      <c r="E16" s="63">
        <f t="shared" si="0"/>
        <v>1.2443999999999998E-2</v>
      </c>
      <c r="F16" s="67">
        <f t="shared" si="1"/>
        <v>10937.73253887192</v>
      </c>
      <c r="G16" s="8"/>
      <c r="H16" s="93"/>
      <c r="I16" s="108">
        <f t="shared" si="2"/>
        <v>369.51799117810538</v>
      </c>
      <c r="J16" s="8"/>
      <c r="K16" s="121"/>
    </row>
    <row r="17" spans="1:18" ht="15" customHeight="1">
      <c r="A17" s="51"/>
      <c r="B17" s="27" t="s">
        <v>45</v>
      </c>
      <c r="C17" s="66"/>
      <c r="D17" s="63">
        <v>1.2E-2</v>
      </c>
      <c r="E17" s="63">
        <f t="shared" si="0"/>
        <v>1.2443999999999998E-2</v>
      </c>
      <c r="F17" s="67">
        <f t="shared" si="1"/>
        <v>10937.73253887192</v>
      </c>
      <c r="G17" s="8"/>
      <c r="H17" s="93"/>
      <c r="I17" s="108">
        <f t="shared" si="2"/>
        <v>369.51799117810538</v>
      </c>
      <c r="J17" s="8"/>
      <c r="K17" s="121"/>
    </row>
    <row r="18" spans="1:18" ht="15" customHeight="1">
      <c r="A18" s="51"/>
      <c r="B18" s="27" t="s">
        <v>28</v>
      </c>
      <c r="C18" s="66"/>
      <c r="D18" s="63"/>
      <c r="E18" s="63">
        <f t="shared" si="0"/>
        <v>0</v>
      </c>
      <c r="F18" s="67">
        <f t="shared" si="1"/>
        <v>0</v>
      </c>
      <c r="G18" s="8"/>
      <c r="H18" s="93"/>
      <c r="I18" s="108">
        <f t="shared" si="2"/>
        <v>0</v>
      </c>
      <c r="J18" s="8"/>
      <c r="K18" s="121"/>
    </row>
    <row r="19" spans="1:18" ht="15" customHeight="1">
      <c r="A19" s="51"/>
      <c r="B19" s="27" t="s">
        <v>113</v>
      </c>
      <c r="C19" s="66"/>
      <c r="D19" s="63">
        <v>1.2E-2</v>
      </c>
      <c r="E19" s="63">
        <f t="shared" si="0"/>
        <v>1.2443999999999998E-2</v>
      </c>
      <c r="F19" s="67">
        <f t="shared" si="1"/>
        <v>10937.73253887192</v>
      </c>
      <c r="G19" s="8"/>
      <c r="H19" s="93"/>
      <c r="I19" s="108"/>
      <c r="J19" s="8"/>
      <c r="K19" s="121"/>
    </row>
    <row r="20" spans="1:18" ht="15" customHeight="1">
      <c r="A20" s="51"/>
      <c r="B20" s="27" t="s">
        <v>24</v>
      </c>
      <c r="C20" s="66"/>
      <c r="D20" s="63"/>
      <c r="E20" s="63">
        <f t="shared" si="0"/>
        <v>0</v>
      </c>
      <c r="F20" s="67">
        <f t="shared" si="1"/>
        <v>0</v>
      </c>
      <c r="G20" s="8"/>
      <c r="H20" s="93"/>
      <c r="I20" s="108">
        <f t="shared" si="2"/>
        <v>0</v>
      </c>
      <c r="J20" s="8"/>
      <c r="K20" s="121"/>
      <c r="M20" s="126"/>
    </row>
    <row r="21" spans="1:18" ht="15" customHeight="1">
      <c r="A21" s="51"/>
      <c r="B21" s="27" t="s">
        <v>57</v>
      </c>
      <c r="C21" s="66"/>
      <c r="D21" s="63">
        <v>4.2500000000000003E-2</v>
      </c>
      <c r="E21" s="63">
        <f t="shared" si="0"/>
        <v>4.4072500000000001E-2</v>
      </c>
      <c r="F21" s="67">
        <f t="shared" si="1"/>
        <v>38737.802741838052</v>
      </c>
      <c r="G21" s="8"/>
      <c r="H21" s="93"/>
      <c r="I21" s="108">
        <f t="shared" si="2"/>
        <v>1308.7095520891232</v>
      </c>
      <c r="J21" s="8"/>
      <c r="K21" s="121"/>
      <c r="M21" s="126"/>
    </row>
    <row r="22" spans="1:18" ht="15" customHeight="1">
      <c r="A22" s="51"/>
      <c r="B22" s="27" t="s">
        <v>50</v>
      </c>
      <c r="C22" s="66"/>
      <c r="D22" s="63">
        <v>2.5000000000000001E-2</v>
      </c>
      <c r="E22" s="63">
        <f t="shared" si="0"/>
        <v>2.5925E-2</v>
      </c>
      <c r="F22" s="67">
        <f t="shared" si="1"/>
        <v>22786.942789316501</v>
      </c>
      <c r="G22" s="8"/>
      <c r="H22" s="93"/>
      <c r="I22" s="108">
        <f t="shared" si="2"/>
        <v>769.82914828771959</v>
      </c>
      <c r="J22" s="8"/>
      <c r="K22" s="121"/>
      <c r="M22" s="126"/>
    </row>
    <row r="23" spans="1:18" ht="15" customHeight="1">
      <c r="A23" s="52"/>
      <c r="B23" s="28"/>
      <c r="C23" s="9"/>
      <c r="D23" s="14"/>
      <c r="E23" s="16"/>
      <c r="F23" s="68"/>
      <c r="G23" s="77"/>
      <c r="H23" s="93"/>
      <c r="I23" s="16"/>
      <c r="J23" s="77"/>
      <c r="M23" s="126"/>
    </row>
    <row r="24" spans="1:18" ht="15" customHeight="1">
      <c r="A24" s="50" t="s">
        <v>18</v>
      </c>
      <c r="B24" s="44" t="s">
        <v>26</v>
      </c>
      <c r="C24" s="36"/>
      <c r="D24" s="39"/>
      <c r="E24" s="38"/>
      <c r="F24" s="70">
        <f>SUM(F25:F51)</f>
        <v>878956.32745675999</v>
      </c>
      <c r="G24" s="74">
        <f>SUM(G25:G50)</f>
        <v>878956.32745675999</v>
      </c>
      <c r="H24" s="93"/>
      <c r="I24" s="111"/>
      <c r="J24" s="112" t="e">
        <f>SUM(I25:I44)</f>
        <v>#DIV/0!</v>
      </c>
      <c r="M24" s="126"/>
    </row>
    <row r="25" spans="1:18" ht="15" customHeight="1">
      <c r="A25" s="53">
        <v>1</v>
      </c>
      <c r="B25" s="40" t="s">
        <v>32</v>
      </c>
      <c r="C25" s="41"/>
      <c r="D25" s="42"/>
      <c r="E25" s="43"/>
      <c r="F25" s="71"/>
      <c r="G25" s="78">
        <f>SUM(F25:F29)</f>
        <v>173300</v>
      </c>
      <c r="H25" s="93"/>
      <c r="I25" s="43">
        <f>SUM(H25:H28)</f>
        <v>0</v>
      </c>
      <c r="J25" s="78">
        <f>SUM(I25:I28)</f>
        <v>4503.3783783783783</v>
      </c>
      <c r="M25" s="126"/>
    </row>
    <row r="26" spans="1:18" ht="15" customHeight="1">
      <c r="A26" s="54">
        <v>1.1000000000000001</v>
      </c>
      <c r="B26" s="30" t="s">
        <v>4</v>
      </c>
      <c r="C26" s="4">
        <v>1</v>
      </c>
      <c r="D26" s="3" t="s">
        <v>5</v>
      </c>
      <c r="E26" s="17">
        <v>10000</v>
      </c>
      <c r="F26" s="72">
        <f>SUM(E26*C26)</f>
        <v>10000</v>
      </c>
      <c r="G26" s="76"/>
      <c r="H26" s="93"/>
      <c r="I26" s="17">
        <f>E26/D3</f>
        <v>337.83783783783781</v>
      </c>
      <c r="J26" s="76"/>
      <c r="M26" s="126"/>
    </row>
    <row r="27" spans="1:18" ht="15" customHeight="1">
      <c r="A27" s="54">
        <v>1.2</v>
      </c>
      <c r="B27" s="30" t="s">
        <v>12</v>
      </c>
      <c r="C27" s="4">
        <v>18</v>
      </c>
      <c r="D27" s="3" t="s">
        <v>7</v>
      </c>
      <c r="E27" s="17">
        <v>850</v>
      </c>
      <c r="F27" s="72">
        <f>SUM(E27*C27)</f>
        <v>15300</v>
      </c>
      <c r="G27" s="76"/>
      <c r="H27" s="93"/>
      <c r="I27" s="17">
        <f>F27/D3</f>
        <v>516.89189189189187</v>
      </c>
      <c r="J27" s="76"/>
      <c r="M27" s="126"/>
    </row>
    <row r="28" spans="1:18" ht="15" customHeight="1">
      <c r="A28" s="54">
        <v>1.3</v>
      </c>
      <c r="B28" s="30" t="s">
        <v>6</v>
      </c>
      <c r="C28" s="4">
        <v>18</v>
      </c>
      <c r="D28" s="3" t="s">
        <v>7</v>
      </c>
      <c r="E28" s="17">
        <v>6000</v>
      </c>
      <c r="F28" s="72">
        <f>SUM(E28*C28)</f>
        <v>108000</v>
      </c>
      <c r="G28" s="76"/>
      <c r="H28" s="93"/>
      <c r="I28" s="17">
        <f>F28/D3</f>
        <v>3648.6486486486483</v>
      </c>
      <c r="J28" s="76"/>
      <c r="M28" s="126"/>
    </row>
    <row r="29" spans="1:18" ht="15" customHeight="1">
      <c r="A29" s="54" t="s">
        <v>90</v>
      </c>
      <c r="B29" s="30" t="s">
        <v>116</v>
      </c>
      <c r="C29" s="4">
        <v>1</v>
      </c>
      <c r="D29" s="3" t="s">
        <v>5</v>
      </c>
      <c r="E29" s="17">
        <v>40000</v>
      </c>
      <c r="F29" s="72">
        <f>SUM(E29*C29)</f>
        <v>40000</v>
      </c>
      <c r="G29" s="76"/>
      <c r="H29" s="93"/>
      <c r="I29" s="17">
        <f>F29/D4</f>
        <v>385728.0617164899</v>
      </c>
      <c r="J29" s="76"/>
      <c r="M29" s="126"/>
    </row>
    <row r="30" spans="1:18" s="135" customFormat="1" ht="15" customHeight="1">
      <c r="A30" s="53">
        <v>2</v>
      </c>
      <c r="B30" s="132" t="s">
        <v>87</v>
      </c>
      <c r="C30" s="133"/>
      <c r="D30" s="42"/>
      <c r="E30" s="134"/>
      <c r="F30" s="71"/>
      <c r="G30" s="78">
        <f>SUM(F30:F33)</f>
        <v>3000</v>
      </c>
      <c r="R30" s="91"/>
    </row>
    <row r="31" spans="1:18" s="135" customFormat="1" ht="15" customHeight="1">
      <c r="A31" s="54" t="s">
        <v>59</v>
      </c>
      <c r="B31" s="27" t="s">
        <v>88</v>
      </c>
      <c r="C31" s="4"/>
      <c r="D31" s="3" t="s">
        <v>89</v>
      </c>
      <c r="E31" s="136">
        <v>2000</v>
      </c>
      <c r="F31" s="72">
        <f>SUM(E31*C31)</f>
        <v>0</v>
      </c>
      <c r="G31" s="137"/>
    </row>
    <row r="32" spans="1:18" s="135" customFormat="1" ht="15" customHeight="1">
      <c r="A32" s="54" t="s">
        <v>60</v>
      </c>
      <c r="B32" s="27" t="s">
        <v>93</v>
      </c>
      <c r="C32" s="4"/>
      <c r="D32" s="3" t="s">
        <v>89</v>
      </c>
      <c r="E32" s="136">
        <v>1000</v>
      </c>
      <c r="F32" s="72">
        <f>SUM(E32*C32)</f>
        <v>0</v>
      </c>
      <c r="G32" s="137"/>
    </row>
    <row r="33" spans="1:20" s="135" customFormat="1" ht="15" customHeight="1">
      <c r="A33" s="54" t="s">
        <v>94</v>
      </c>
      <c r="B33" s="27" t="s">
        <v>95</v>
      </c>
      <c r="C33" s="4">
        <v>1</v>
      </c>
      <c r="D33" s="3" t="s">
        <v>89</v>
      </c>
      <c r="E33" s="136">
        <v>3000</v>
      </c>
      <c r="F33" s="72">
        <f>SUM(E33*C33)</f>
        <v>3000</v>
      </c>
      <c r="G33" s="137"/>
    </row>
    <row r="34" spans="1:20" ht="15" customHeight="1">
      <c r="A34" s="53" t="s">
        <v>61</v>
      </c>
      <c r="B34" s="40" t="s">
        <v>31</v>
      </c>
      <c r="C34" s="41"/>
      <c r="D34" s="42"/>
      <c r="E34" s="43"/>
      <c r="F34" s="71"/>
      <c r="G34" s="78">
        <f>SUM(F34:F38)</f>
        <v>221161.70245675999</v>
      </c>
      <c r="H34" s="93"/>
      <c r="I34" s="43"/>
      <c r="J34" s="79">
        <f>SUM(I34:I38)</f>
        <v>128.60000000000002</v>
      </c>
      <c r="M34" s="126"/>
      <c r="S34" s="123"/>
    </row>
    <row r="35" spans="1:20" ht="15" customHeight="1">
      <c r="A35" s="54" t="s">
        <v>62</v>
      </c>
      <c r="B35" s="30" t="s">
        <v>44</v>
      </c>
      <c r="C35" s="4">
        <v>13838</v>
      </c>
      <c r="D35" s="3" t="s">
        <v>10</v>
      </c>
      <c r="E35" s="17">
        <v>3.5</v>
      </c>
      <c r="F35" s="72">
        <f>SUM(E35*C35)</f>
        <v>48433</v>
      </c>
      <c r="G35" s="76"/>
      <c r="H35" s="93"/>
      <c r="I35" s="17">
        <f>10*D3*E35/D3</f>
        <v>35</v>
      </c>
      <c r="J35" s="76"/>
      <c r="M35" s="126"/>
      <c r="S35" s="123"/>
      <c r="T35" s="122"/>
    </row>
    <row r="36" spans="1:20" s="135" customFormat="1" ht="15" customHeight="1">
      <c r="A36" s="54" t="s">
        <v>64</v>
      </c>
      <c r="B36" s="155" t="s">
        <v>149</v>
      </c>
      <c r="C36" s="4">
        <v>1</v>
      </c>
      <c r="D36" s="3" t="s">
        <v>89</v>
      </c>
      <c r="E36" s="136"/>
      <c r="F36" s="72">
        <f>78619.40491352*0.5</f>
        <v>39309.702456760002</v>
      </c>
      <c r="G36" s="76"/>
      <c r="L36" s="135" t="s">
        <v>148</v>
      </c>
    </row>
    <row r="37" spans="1:20" ht="15" customHeight="1">
      <c r="A37" s="54" t="s">
        <v>39</v>
      </c>
      <c r="B37" s="30" t="s">
        <v>129</v>
      </c>
      <c r="C37" s="4">
        <f>2745-750</f>
        <v>1995</v>
      </c>
      <c r="D37" s="3" t="s">
        <v>11</v>
      </c>
      <c r="E37" s="17">
        <v>65</v>
      </c>
      <c r="F37" s="72">
        <f>SUM(E37*C37)</f>
        <v>129675</v>
      </c>
      <c r="G37" s="76"/>
      <c r="H37" s="93"/>
      <c r="I37" s="17"/>
      <c r="J37" s="76"/>
      <c r="M37" s="126"/>
      <c r="S37" s="123"/>
      <c r="T37" s="122"/>
    </row>
    <row r="38" spans="1:20" ht="15" customHeight="1">
      <c r="A38" s="54" t="s">
        <v>82</v>
      </c>
      <c r="B38" s="30" t="s">
        <v>43</v>
      </c>
      <c r="C38" s="4">
        <f>3*(D3+12)</f>
        <v>124.80000000000001</v>
      </c>
      <c r="D38" s="3" t="s">
        <v>11</v>
      </c>
      <c r="E38" s="17">
        <v>30</v>
      </c>
      <c r="F38" s="72">
        <f>SUM(E38*C38)</f>
        <v>3744.0000000000005</v>
      </c>
      <c r="G38" s="76"/>
      <c r="H38" s="93"/>
      <c r="I38" s="17">
        <f>F38/40</f>
        <v>93.600000000000009</v>
      </c>
      <c r="J38" s="76"/>
      <c r="S38" s="123"/>
      <c r="T38" s="122"/>
    </row>
    <row r="39" spans="1:20" ht="15" customHeight="1">
      <c r="A39" s="53" t="s">
        <v>65</v>
      </c>
      <c r="B39" s="40" t="s">
        <v>81</v>
      </c>
      <c r="C39" s="42"/>
      <c r="D39" s="42"/>
      <c r="E39" s="43"/>
      <c r="F39" s="71"/>
      <c r="G39" s="78">
        <f>SUM(F39:F48)</f>
        <v>418994.625</v>
      </c>
      <c r="H39" s="93"/>
      <c r="I39" s="43"/>
      <c r="J39" s="78" t="e">
        <f>SUM(I39:I44)</f>
        <v>#DIV/0!</v>
      </c>
      <c r="S39" s="123"/>
      <c r="T39" s="122"/>
    </row>
    <row r="40" spans="1:20">
      <c r="A40" s="54" t="s">
        <v>98</v>
      </c>
      <c r="B40" s="30" t="s">
        <v>121</v>
      </c>
      <c r="C40" s="4">
        <f>7.1*29.5</f>
        <v>209.45</v>
      </c>
      <c r="D40" s="3" t="s">
        <v>10</v>
      </c>
      <c r="E40" s="17">
        <v>400</v>
      </c>
      <c r="F40" s="72">
        <f>SUM(E40*C40)</f>
        <v>83780</v>
      </c>
      <c r="G40" s="76"/>
      <c r="H40" s="93"/>
      <c r="I40" s="17" t="e">
        <f>F40/D1</f>
        <v>#DIV/0!</v>
      </c>
      <c r="J40" s="76"/>
      <c r="S40" s="123"/>
      <c r="T40" s="122"/>
    </row>
    <row r="41" spans="1:20" ht="15" customHeight="1">
      <c r="A41" s="54" t="s">
        <v>101</v>
      </c>
      <c r="B41" s="30" t="s">
        <v>117</v>
      </c>
      <c r="C41" s="4">
        <f>C40</f>
        <v>209.45</v>
      </c>
      <c r="D41" s="3" t="s">
        <v>10</v>
      </c>
      <c r="E41" s="17">
        <v>15</v>
      </c>
      <c r="F41" s="72">
        <f>SUM(E41*C41)</f>
        <v>3141.75</v>
      </c>
      <c r="G41" s="76"/>
      <c r="H41" s="93"/>
      <c r="I41" s="17">
        <f>1.5*D3*E41/D3</f>
        <v>22.500000000000004</v>
      </c>
      <c r="J41" s="76"/>
      <c r="S41" s="123"/>
      <c r="T41" s="122"/>
    </row>
    <row r="42" spans="1:20" ht="15" customHeight="1">
      <c r="A42" s="54" t="s">
        <v>115</v>
      </c>
      <c r="B42" s="30" t="s">
        <v>127</v>
      </c>
      <c r="C42" s="4">
        <f>D3*2</f>
        <v>59.2</v>
      </c>
      <c r="D42" s="3" t="s">
        <v>63</v>
      </c>
      <c r="E42" s="17">
        <v>2000</v>
      </c>
      <c r="F42" s="72">
        <f t="shared" ref="F42:F43" si="3">SUM(E42*C42)</f>
        <v>118400</v>
      </c>
      <c r="G42" s="76"/>
      <c r="H42" s="93"/>
      <c r="I42" s="43"/>
      <c r="J42" s="78"/>
      <c r="S42" s="123"/>
      <c r="T42" s="122"/>
    </row>
    <row r="43" spans="1:20" ht="15" customHeight="1">
      <c r="A43" s="54" t="s">
        <v>124</v>
      </c>
      <c r="B43" s="30" t="s">
        <v>147</v>
      </c>
      <c r="C43" s="4">
        <f>D3</f>
        <v>29.6</v>
      </c>
      <c r="D43" s="3" t="s">
        <v>63</v>
      </c>
      <c r="E43" s="17">
        <v>700</v>
      </c>
      <c r="F43" s="72">
        <f t="shared" si="3"/>
        <v>20720</v>
      </c>
      <c r="G43" s="76"/>
      <c r="H43" s="93"/>
      <c r="I43" s="17">
        <f>F43/D3</f>
        <v>700</v>
      </c>
      <c r="J43" s="76"/>
      <c r="S43" s="123"/>
      <c r="T43" s="122"/>
    </row>
    <row r="44" spans="1:20">
      <c r="A44" s="54" t="s">
        <v>126</v>
      </c>
      <c r="B44" s="30" t="s">
        <v>123</v>
      </c>
      <c r="C44" s="4">
        <f xml:space="preserve"> 29.5*2.7*0.45</f>
        <v>35.842500000000001</v>
      </c>
      <c r="D44" s="3" t="s">
        <v>11</v>
      </c>
      <c r="E44" s="17">
        <v>350</v>
      </c>
      <c r="F44" s="72">
        <f>SUM(E44*C44)</f>
        <v>12544.875</v>
      </c>
      <c r="G44" s="76"/>
      <c r="H44" s="93"/>
      <c r="I44" s="17">
        <f>F44/D3</f>
        <v>423.81334459459458</v>
      </c>
      <c r="J44" s="76"/>
      <c r="S44" s="123"/>
      <c r="T44" s="122"/>
    </row>
    <row r="45" spans="1:20" ht="15" customHeight="1">
      <c r="A45" s="54" t="s">
        <v>136</v>
      </c>
      <c r="B45" s="30" t="s">
        <v>118</v>
      </c>
      <c r="C45" s="4">
        <f>C42*2</f>
        <v>118.4</v>
      </c>
      <c r="D45" s="3" t="s">
        <v>63</v>
      </c>
      <c r="E45" s="17">
        <v>115</v>
      </c>
      <c r="F45" s="72">
        <f>SUM(E45*C45)</f>
        <v>13616</v>
      </c>
      <c r="G45" s="76"/>
      <c r="H45" s="93"/>
      <c r="I45" s="17"/>
      <c r="J45" s="76"/>
      <c r="S45" s="123"/>
      <c r="T45" s="122"/>
    </row>
    <row r="46" spans="1:20" ht="15" customHeight="1">
      <c r="A46" s="54" t="s">
        <v>137</v>
      </c>
      <c r="B46" s="30" t="s">
        <v>119</v>
      </c>
      <c r="C46" s="4">
        <f>2*6*14</f>
        <v>168</v>
      </c>
      <c r="D46" s="3" t="s">
        <v>10</v>
      </c>
      <c r="E46" s="17">
        <v>400</v>
      </c>
      <c r="F46" s="72">
        <f>SUM(E46*C46)</f>
        <v>67200</v>
      </c>
      <c r="G46" s="76"/>
      <c r="H46" s="93"/>
      <c r="I46" s="17"/>
      <c r="J46" s="76"/>
      <c r="P46" s="121"/>
      <c r="S46" s="123"/>
      <c r="T46" s="122"/>
    </row>
    <row r="47" spans="1:20" ht="15" customHeight="1">
      <c r="A47" s="54" t="s">
        <v>138</v>
      </c>
      <c r="B47" s="30" t="s">
        <v>114</v>
      </c>
      <c r="C47" s="4">
        <f>2*((8*3.6)+(2.4*7.1))</f>
        <v>91.68</v>
      </c>
      <c r="D47" s="3" t="s">
        <v>10</v>
      </c>
      <c r="E47" s="17">
        <v>650</v>
      </c>
      <c r="F47" s="72">
        <f>SUM(E47*C47)</f>
        <v>59592.000000000007</v>
      </c>
      <c r="G47" s="76"/>
      <c r="H47" s="93"/>
      <c r="I47" s="17"/>
      <c r="J47" s="76"/>
      <c r="S47" s="123"/>
      <c r="T47" s="122"/>
    </row>
    <row r="48" spans="1:20" ht="15" customHeight="1">
      <c r="A48" s="54" t="s">
        <v>139</v>
      </c>
      <c r="B48" s="30" t="s">
        <v>83</v>
      </c>
      <c r="C48" s="4">
        <f>2*10*20</f>
        <v>400</v>
      </c>
      <c r="D48" s="3" t="s">
        <v>10</v>
      </c>
      <c r="E48" s="17">
        <v>100</v>
      </c>
      <c r="F48" s="72">
        <f>SUM(E48*C48)</f>
        <v>40000</v>
      </c>
      <c r="G48" s="76"/>
      <c r="H48" s="93"/>
      <c r="I48" s="17"/>
      <c r="J48" s="76"/>
      <c r="S48" s="123"/>
      <c r="T48" s="122"/>
    </row>
    <row r="49" spans="1:20" ht="15" customHeight="1">
      <c r="A49" s="53" t="s">
        <v>140</v>
      </c>
      <c r="B49" s="40" t="s">
        <v>9</v>
      </c>
      <c r="C49" s="41"/>
      <c r="D49" s="42"/>
      <c r="E49" s="43"/>
      <c r="F49" s="71"/>
      <c r="G49" s="79">
        <f>SUM(F49:F51)</f>
        <v>62500</v>
      </c>
      <c r="H49" s="93"/>
      <c r="I49" s="43"/>
      <c r="J49" s="78"/>
    </row>
    <row r="50" spans="1:20" ht="15" customHeight="1">
      <c r="A50" s="54" t="s">
        <v>141</v>
      </c>
      <c r="B50" s="30" t="s">
        <v>105</v>
      </c>
      <c r="C50" s="4"/>
      <c r="D50" s="3" t="s">
        <v>99</v>
      </c>
      <c r="E50" s="17">
        <v>3400</v>
      </c>
      <c r="F50" s="72">
        <f>SUM(E50*C50)</f>
        <v>0</v>
      </c>
      <c r="G50" s="76"/>
      <c r="H50" s="93"/>
      <c r="I50" s="17" t="e">
        <f>F50/D9</f>
        <v>#DIV/0!</v>
      </c>
      <c r="J50" s="76"/>
      <c r="S50" s="123"/>
      <c r="T50" s="122"/>
    </row>
    <row r="51" spans="1:20">
      <c r="A51" s="54" t="s">
        <v>142</v>
      </c>
      <c r="B51" s="30" t="s">
        <v>133</v>
      </c>
      <c r="C51" s="4">
        <f>2*25</f>
        <v>50</v>
      </c>
      <c r="D51" s="3" t="s">
        <v>63</v>
      </c>
      <c r="E51" s="17">
        <v>1250</v>
      </c>
      <c r="F51" s="72">
        <f>SUM(E51*C51)</f>
        <v>62500</v>
      </c>
      <c r="G51" s="76"/>
      <c r="H51" s="93"/>
      <c r="I51" s="17" t="e">
        <f>F51/D10</f>
        <v>#DIV/0!</v>
      </c>
      <c r="J51" s="76"/>
      <c r="S51" s="123"/>
      <c r="T51" s="122"/>
    </row>
    <row r="52" spans="1:20" ht="15" customHeight="1">
      <c r="A52" s="54" t="s">
        <v>143</v>
      </c>
      <c r="B52" s="30" t="s">
        <v>122</v>
      </c>
      <c r="C52" s="4">
        <v>4</v>
      </c>
      <c r="D52" s="3" t="s">
        <v>89</v>
      </c>
      <c r="E52" s="17">
        <v>8500</v>
      </c>
      <c r="F52" s="72">
        <f>SUM(E52*C52)</f>
        <v>34000</v>
      </c>
      <c r="G52" s="76"/>
      <c r="H52" s="93"/>
      <c r="I52" s="17" t="e">
        <f>F52/D11</f>
        <v>#DIV/0!</v>
      </c>
      <c r="J52" s="76"/>
      <c r="S52" s="123"/>
      <c r="T52" s="122"/>
    </row>
    <row r="53" spans="1:20" ht="15" customHeight="1">
      <c r="A53" s="54" t="s">
        <v>144</v>
      </c>
      <c r="B53" s="30" t="s">
        <v>125</v>
      </c>
      <c r="C53" s="4">
        <f>4*11</f>
        <v>44</v>
      </c>
      <c r="D53" s="3" t="s">
        <v>63</v>
      </c>
      <c r="E53" s="17">
        <v>155</v>
      </c>
      <c r="F53" s="72">
        <f>SUM(E53*C53)</f>
        <v>6820</v>
      </c>
      <c r="G53" s="76"/>
      <c r="H53" s="93"/>
      <c r="I53" s="17"/>
      <c r="J53" s="76"/>
      <c r="S53" s="123"/>
      <c r="T53" s="122"/>
    </row>
    <row r="54" spans="1:20" ht="15" customHeight="1">
      <c r="A54" s="54" t="s">
        <v>145</v>
      </c>
      <c r="B54" s="30" t="s">
        <v>134</v>
      </c>
      <c r="C54" s="4">
        <v>120</v>
      </c>
      <c r="D54" s="3" t="s">
        <v>63</v>
      </c>
      <c r="E54" s="17">
        <v>200</v>
      </c>
      <c r="F54" s="72">
        <f>SUM(E54*C54)</f>
        <v>24000</v>
      </c>
      <c r="G54" s="76"/>
      <c r="H54" s="93"/>
      <c r="I54" s="17" t="e">
        <f>F54/D11</f>
        <v>#DIV/0!</v>
      </c>
      <c r="J54" s="76"/>
      <c r="S54" s="123"/>
      <c r="T54" s="122"/>
    </row>
    <row r="55" spans="1:20" ht="15" customHeight="1">
      <c r="A55" s="55"/>
      <c r="B55" s="45" t="s">
        <v>46</v>
      </c>
      <c r="C55" s="46"/>
      <c r="D55" s="47"/>
      <c r="E55" s="48"/>
      <c r="F55" s="73">
        <f>SUM(F7:F12,F15:F22,F26:F51)</f>
        <v>1026615.7167315308</v>
      </c>
      <c r="G55" s="80">
        <f>SUM(G24+G14+G6)</f>
        <v>1026615.7167315308</v>
      </c>
      <c r="H55" s="93"/>
      <c r="I55" s="73" t="e">
        <f>SUM(I25:I44,I15:I22,I7:I12)</f>
        <v>#DIV/0!</v>
      </c>
      <c r="J55" s="80" t="e">
        <f>SUM(J24+J14+J6)</f>
        <v>#DIV/0!</v>
      </c>
    </row>
    <row r="56" spans="1:20" ht="15" customHeight="1">
      <c r="H56" s="93"/>
      <c r="J56" s="15"/>
    </row>
    <row r="57" spans="1:20" ht="15" customHeight="1">
      <c r="A57" s="50" t="s">
        <v>19</v>
      </c>
      <c r="B57" s="35" t="s">
        <v>29</v>
      </c>
      <c r="C57" s="36"/>
      <c r="D57" s="37"/>
      <c r="E57" s="38"/>
      <c r="F57" s="39"/>
      <c r="G57" s="74"/>
      <c r="H57" s="93"/>
      <c r="I57" s="39"/>
      <c r="J57" s="38"/>
    </row>
    <row r="58" spans="1:20" ht="15" customHeight="1">
      <c r="A58" s="54"/>
      <c r="B58" s="31" t="s">
        <v>49</v>
      </c>
      <c r="C58" s="4"/>
      <c r="D58" s="3"/>
      <c r="E58" s="17"/>
      <c r="F58" s="6">
        <v>0.2</v>
      </c>
      <c r="G58" s="75">
        <f>G55*F58</f>
        <v>205323.14334630617</v>
      </c>
      <c r="H58" s="93"/>
      <c r="I58" s="6">
        <v>0.2</v>
      </c>
      <c r="J58" s="75" t="e">
        <f>J55*I58</f>
        <v>#DIV/0!</v>
      </c>
    </row>
    <row r="59" spans="1:20" ht="15" customHeight="1">
      <c r="A59" s="145"/>
      <c r="B59" s="146" t="s">
        <v>48</v>
      </c>
      <c r="C59" s="147"/>
      <c r="D59" s="148"/>
      <c r="E59" s="149"/>
      <c r="F59" s="150"/>
      <c r="G59" s="151">
        <f>SUM(G55:G58)</f>
        <v>1231938.860077837</v>
      </c>
      <c r="H59" s="93"/>
      <c r="I59" s="10"/>
      <c r="J59" s="144"/>
    </row>
    <row r="60" spans="1:20" ht="15" customHeight="1">
      <c r="A60" s="56" t="s">
        <v>20</v>
      </c>
      <c r="B60" s="32" t="s">
        <v>30</v>
      </c>
      <c r="C60" s="88"/>
      <c r="D60" s="12"/>
      <c r="E60" s="18"/>
      <c r="F60" s="13"/>
      <c r="G60" s="81"/>
      <c r="H60" s="93"/>
      <c r="I60" s="13"/>
      <c r="J60" s="18"/>
    </row>
    <row r="61" spans="1:20" ht="15" customHeight="1">
      <c r="A61" s="54"/>
      <c r="B61" s="91"/>
      <c r="C61" s="89"/>
      <c r="D61" s="3"/>
      <c r="E61" s="17"/>
      <c r="F61" s="33"/>
      <c r="G61" s="75">
        <f>G59</f>
        <v>1231938.860077837</v>
      </c>
      <c r="H61" s="93"/>
      <c r="I61" s="33"/>
      <c r="J61" s="75" t="e">
        <f>J58+I55</f>
        <v>#DIV/0!</v>
      </c>
    </row>
    <row r="62" spans="1:20" ht="15" customHeight="1">
      <c r="A62" s="103" t="s">
        <v>66</v>
      </c>
      <c r="B62" s="104" t="s">
        <v>67</v>
      </c>
      <c r="C62" s="87"/>
      <c r="H62" s="93"/>
    </row>
    <row r="63" spans="1:20" ht="15" customHeight="1">
      <c r="A63" s="105" t="s">
        <v>68</v>
      </c>
      <c r="B63" s="159" t="s">
        <v>69</v>
      </c>
      <c r="C63" s="159"/>
      <c r="D63" s="159"/>
      <c r="E63" s="159"/>
      <c r="F63" s="83"/>
      <c r="H63" s="93"/>
      <c r="I63" s="83"/>
      <c r="J63" s="83"/>
    </row>
    <row r="64" spans="1:20" s="22" customFormat="1" ht="15" customHeight="1">
      <c r="A64" s="1"/>
      <c r="B64" s="106" t="s">
        <v>70</v>
      </c>
      <c r="C64" s="87"/>
      <c r="D64" s="2"/>
      <c r="E64" s="15"/>
      <c r="G64" s="20"/>
      <c r="H64" s="93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s="22" customFormat="1" ht="15" customHeight="1">
      <c r="A65" s="105" t="s">
        <v>58</v>
      </c>
      <c r="B65" s="1" t="s">
        <v>104</v>
      </c>
      <c r="C65" s="87"/>
      <c r="D65" s="82"/>
      <c r="E65" s="82"/>
      <c r="G65" s="20"/>
      <c r="H65" s="93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1:20" s="22" customFormat="1" ht="15" customHeight="1">
      <c r="A66" s="105"/>
      <c r="B66" s="143" t="s">
        <v>31</v>
      </c>
      <c r="C66" s="87"/>
      <c r="D66" s="82"/>
      <c r="E66" s="82"/>
      <c r="G66" s="20"/>
      <c r="H66" s="93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1:20" s="22" customFormat="1" ht="15" customHeight="1">
      <c r="A67" s="105" t="s">
        <v>61</v>
      </c>
      <c r="B67" s="1" t="s">
        <v>132</v>
      </c>
      <c r="C67" s="87"/>
      <c r="D67" s="82"/>
      <c r="E67" s="82"/>
      <c r="G67" s="20"/>
      <c r="H67" s="93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1:20" s="22" customFormat="1" ht="15" customHeight="1">
      <c r="A68" s="105"/>
      <c r="B68" s="1" t="s">
        <v>146</v>
      </c>
      <c r="C68" s="87"/>
      <c r="D68" s="82"/>
      <c r="E68" s="82"/>
      <c r="G68" s="20"/>
      <c r="H68" s="93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1:20" s="22" customFormat="1" ht="15" customHeight="1">
      <c r="A69" s="1"/>
      <c r="B69" s="106" t="s">
        <v>8</v>
      </c>
      <c r="C69" s="87"/>
      <c r="D69" s="82"/>
      <c r="E69" s="82"/>
      <c r="G69" s="20"/>
      <c r="H69" s="93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1:20" s="22" customFormat="1" ht="15" customHeight="1">
      <c r="A70" s="105">
        <v>4</v>
      </c>
      <c r="B70" s="1" t="s">
        <v>85</v>
      </c>
      <c r="C70" s="87"/>
      <c r="D70" s="82"/>
      <c r="E70" s="82"/>
      <c r="G70" s="20"/>
      <c r="H70" s="93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1:20" s="22" customFormat="1" ht="15" customHeight="1">
      <c r="A71" s="105">
        <v>5</v>
      </c>
      <c r="B71" s="1" t="s">
        <v>86</v>
      </c>
      <c r="C71" s="87"/>
      <c r="D71" s="82"/>
      <c r="E71" s="82"/>
      <c r="G71" s="20"/>
      <c r="H71" s="93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1:20" s="22" customFormat="1" ht="15" customHeight="1">
      <c r="A72" s="105" t="s">
        <v>84</v>
      </c>
      <c r="B72" s="1" t="s">
        <v>100</v>
      </c>
      <c r="C72" s="87"/>
      <c r="D72" s="82"/>
      <c r="E72" s="82"/>
      <c r="G72" s="20"/>
      <c r="H72" s="93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1:20" s="22" customFormat="1" ht="15" customHeight="1">
      <c r="A73" s="11"/>
      <c r="B73" s="107"/>
      <c r="C73" s="87"/>
      <c r="D73" s="82"/>
      <c r="E73" s="82"/>
      <c r="G73" s="20"/>
      <c r="H73" s="93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1:20" s="22" customFormat="1" ht="15" customHeight="1">
      <c r="A74" s="58" t="s">
        <v>41</v>
      </c>
      <c r="B74" s="59" t="s">
        <v>135</v>
      </c>
      <c r="C74" s="87"/>
      <c r="D74" s="82"/>
      <c r="E74" s="82"/>
      <c r="G74" s="20"/>
      <c r="H74" s="93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1:20" s="22" customFormat="1" ht="15" customHeight="1">
      <c r="A75" s="58" t="s">
        <v>40</v>
      </c>
      <c r="B75" s="85">
        <f ca="1">NOW()</f>
        <v>42138.488978703703</v>
      </c>
      <c r="C75" s="87"/>
      <c r="D75" s="82"/>
      <c r="E75" s="82"/>
      <c r="G75" s="20"/>
      <c r="H75" s="93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1:20" s="22" customFormat="1" ht="15" customHeight="1">
      <c r="A76" s="84"/>
      <c r="B76" s="11"/>
      <c r="C76" s="87"/>
      <c r="D76" s="82"/>
      <c r="E76" s="82"/>
      <c r="G76" s="20"/>
      <c r="H76" s="20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1:20" s="22" customFormat="1" ht="15" customHeight="1">
      <c r="A77" s="58" t="s">
        <v>42</v>
      </c>
      <c r="B77" s="59"/>
      <c r="C77" s="87"/>
      <c r="D77" s="82"/>
      <c r="E77" s="82"/>
      <c r="G77" s="20"/>
      <c r="H77" s="20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1:20" s="22" customFormat="1" ht="15" customHeight="1">
      <c r="A78" s="58" t="s">
        <v>40</v>
      </c>
      <c r="B78" s="85">
        <f ca="1">NOW()</f>
        <v>42138.488978703703</v>
      </c>
      <c r="C78" s="87"/>
      <c r="D78" s="82"/>
      <c r="E78" s="82"/>
      <c r="G78" s="20"/>
      <c r="H78" s="20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1:20" s="22" customFormat="1" ht="15" customHeight="1">
      <c r="A79" s="60"/>
      <c r="B79" s="34"/>
      <c r="C79" s="87"/>
      <c r="D79" s="82"/>
      <c r="E79" s="82"/>
      <c r="G79" s="20"/>
      <c r="H79" s="20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1:20" s="22" customFormat="1" ht="15" customHeight="1">
      <c r="A80" s="60"/>
      <c r="B80" s="34"/>
      <c r="C80" s="87"/>
      <c r="D80" s="82"/>
      <c r="E80" s="82"/>
      <c r="G80" s="20"/>
      <c r="H80" s="20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1:20" s="22" customFormat="1" ht="15" customHeight="1">
      <c r="A81" s="60"/>
      <c r="B81" s="34"/>
      <c r="C81" s="87"/>
      <c r="D81" s="82"/>
      <c r="E81" s="82"/>
      <c r="G81" s="20"/>
      <c r="H81" s="20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:20" s="22" customFormat="1" ht="15" customHeight="1">
      <c r="A82" s="60"/>
      <c r="B82" s="34"/>
      <c r="C82" s="87"/>
      <c r="D82" s="82"/>
      <c r="E82" s="82"/>
      <c r="G82" s="20"/>
      <c r="H82" s="20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1:20" s="22" customFormat="1" ht="15" customHeight="1">
      <c r="A83" s="60"/>
      <c r="B83" s="34"/>
      <c r="C83" s="87"/>
      <c r="D83" s="82"/>
      <c r="E83" s="82"/>
      <c r="G83" s="20"/>
      <c r="H83" s="20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1:20" s="22" customFormat="1" ht="15" customHeight="1">
      <c r="A84" s="60"/>
      <c r="B84" s="60"/>
      <c r="C84" s="60"/>
      <c r="D84" s="60"/>
      <c r="E84" s="60"/>
      <c r="G84" s="20"/>
      <c r="H84" s="20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1:20" s="22" customFormat="1" ht="15" customHeight="1">
      <c r="A85" s="60"/>
      <c r="B85" s="60"/>
      <c r="C85" s="60"/>
      <c r="D85" s="60"/>
      <c r="E85" s="60"/>
      <c r="G85" s="20"/>
      <c r="H85" s="20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1:20" s="22" customFormat="1" ht="15" customHeight="1">
      <c r="A86" s="60"/>
      <c r="B86" s="60"/>
      <c r="C86" s="60"/>
      <c r="D86" s="60"/>
      <c r="E86" s="60"/>
      <c r="G86" s="20"/>
      <c r="H86" s="20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1:20" s="22" customFormat="1" ht="15" customHeight="1">
      <c r="A87" s="60"/>
      <c r="B87" s="60"/>
      <c r="C87" s="60"/>
      <c r="D87" s="60"/>
      <c r="E87" s="60"/>
      <c r="G87" s="20"/>
      <c r="H87" s="20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1:20" s="22" customFormat="1" ht="15" customHeight="1">
      <c r="A88" s="60"/>
      <c r="B88" s="60"/>
      <c r="C88" s="60"/>
      <c r="D88" s="60"/>
      <c r="E88" s="60"/>
      <c r="G88" s="20"/>
      <c r="H88" s="20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1:20" s="22" customFormat="1" ht="15" customHeight="1">
      <c r="A89" s="60"/>
      <c r="B89" s="60"/>
      <c r="C89" s="60"/>
      <c r="D89" s="60"/>
      <c r="E89" s="60"/>
      <c r="G89" s="20"/>
      <c r="H89" s="20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1:20" s="22" customFormat="1" ht="15" customHeight="1">
      <c r="A90" s="60"/>
      <c r="B90" s="60"/>
      <c r="C90" s="60"/>
      <c r="D90" s="60"/>
      <c r="E90" s="60"/>
      <c r="G90" s="20"/>
      <c r="H90" s="20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1:20" s="22" customFormat="1" ht="15" customHeight="1">
      <c r="A91" s="60"/>
      <c r="B91" s="60"/>
      <c r="C91" s="60"/>
      <c r="D91" s="60"/>
      <c r="E91" s="60"/>
      <c r="G91" s="20"/>
      <c r="H91" s="20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1:20" s="22" customFormat="1" ht="15" customHeight="1">
      <c r="A92" s="60"/>
      <c r="B92" s="60"/>
      <c r="C92" s="60"/>
      <c r="D92" s="60"/>
      <c r="E92" s="60"/>
      <c r="G92" s="20"/>
      <c r="H92" s="20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1:20" ht="15" customHeight="1">
      <c r="A93" s="60"/>
      <c r="B93" s="60"/>
      <c r="C93" s="60"/>
      <c r="D93" s="60"/>
      <c r="E93" s="60"/>
    </row>
    <row r="94" spans="1:20" ht="15" customHeight="1">
      <c r="A94" s="60"/>
      <c r="B94" s="60"/>
      <c r="C94" s="60"/>
      <c r="D94" s="60"/>
      <c r="E94" s="60"/>
    </row>
  </sheetData>
  <mergeCells count="1">
    <mergeCell ref="B63:E63"/>
  </mergeCells>
  <conditionalFormatting sqref="F24">
    <cfRule type="expression" dxfId="0" priority="2">
      <formula>$F$24&lt;&gt;$G$24</formula>
    </cfRule>
  </conditionalFormatting>
  <pageMargins left="0.59055118110236227" right="0.59055118110236227" top="0.9055118110236221" bottom="0.74803149606299213" header="0.31496062992125984" footer="0.31496062992125984"/>
  <pageSetup paperSize="258" scale="59" orientation="portrait" r:id="rId1"/>
  <headerFooter scaleWithDoc="0">
    <oddHeader>&amp;R&amp;G</oddHeader>
    <oddFooter>&amp;L&amp;"Arial,Regular"&amp;7&amp;Z&amp;F
&amp;D&amp;R&amp;"Arial,Regular"&amp;7Page &amp;P</oddFooter>
  </headerFooter>
  <colBreaks count="1" manualBreakCount="1">
    <brk id="11" max="1048575" man="1"/>
  </colBreaks>
  <legacyDrawing r:id="rId2"/>
  <legacyDrawingHF r:id="rId3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expression" priority="1" id="{B6C98F21-9941-4B94-B4D4-A270D21260E7}">
            <xm:f>'boundary Rd'!$F$101&lt;&gt;'boundary Rd'!$G$101</xm:f>
            <x14:dxf>
              <fill>
                <patternFill>
                  <bgColor rgb="FFFF0000"/>
                </patternFill>
              </fill>
            </x14:dxf>
          </x14:cfRule>
          <xm:sqref>I55 F55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boundary Rd</vt:lpstr>
      <vt:lpstr>Koukoura Dve</vt:lpstr>
      <vt:lpstr>'boundary Rd'!Print_Area</vt:lpstr>
      <vt:lpstr>'Koukoura Dve'!Print_Area</vt:lpstr>
      <vt:lpstr>Summary!Print_Area</vt:lpstr>
      <vt:lpstr>Summary!Print_Titles</vt:lpstr>
    </vt:vector>
  </TitlesOfParts>
  <Company>VicRoads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Asiri Rajapakse (Melbourne)</dc:creator>
  <cp:lastModifiedBy>fiona.mcdougall</cp:lastModifiedBy>
  <cp:lastPrinted>2015-03-29T23:58:23Z</cp:lastPrinted>
  <dcterms:created xsi:type="dcterms:W3CDTF">1999-11-16T04:03:17Z</dcterms:created>
  <dcterms:modified xsi:type="dcterms:W3CDTF">2015-05-14T01:44:07Z</dcterms:modified>
</cp:coreProperties>
</file>